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lling Cash Flow Projection" state="visible" r:id="rId4"/>
    <sheet sheetId="2" name="Collections" state="visible" r:id="rId5"/>
    <sheet sheetId="3" name="Expenses" state="visible" r:id="rId6"/>
    <sheet sheetId="4" name="INPUTS&gt;&gt;" state="visible" r:id="rId7"/>
    <sheet sheetId="5" name="1. Signed Engagements" state="visible" r:id="rId8"/>
    <sheet sheetId="6" name="2. Pipeline" state="visible" r:id="rId9"/>
    <sheet sheetId="7" name="3. Expenses" state="visible" r:id="rId10"/>
  </sheets>
  <calcPr calcId="171027"/>
</workbook>
</file>

<file path=xl/sharedStrings.xml><?xml version="1.0" encoding="utf-8"?>
<sst xmlns="http://schemas.openxmlformats.org/spreadsheetml/2006/main" count="267" uniqueCount="154">
  <si>
    <t>GREENFIELD PARTNERS — 13-WEEK ROLLING CASH FLOW FORECAST</t>
  </si>
  <si>
    <t>Weekly buckets. Inflows read from the Collections tab, outflows from the Expenses tab; both are built off the three input tabs.</t>
  </si>
  <si>
    <t>ASSUMPTIONS</t>
  </si>
  <si>
    <t>Beginning cash balance</t>
  </si>
  <si>
    <t>Anchored at Aug 10, 2026.</t>
  </si>
  <si>
    <t>Current Week</t>
  </si>
  <si>
    <t>Monday that starts week 1. Roll this forward each week.</t>
  </si>
  <si>
    <t>Outflows falling on a Saturday or Sunday are paid on the prior business day. Collections are estimates and are not shifted.</t>
  </si>
  <si>
    <t/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</si>
  <si>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</si>
  <si>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</si>
  <si>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</si>
  <si>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</si>
  <si>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</si>
  <si>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</si>
  <si>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</si>
  <si>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</si>
  <si>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</si>
  <si>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</si>
  <si>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</si>
  <si>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</si>
  <si>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</si>
  <si>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13-Week Total</t>
  </si>
  <si>
    <t>Week Start</t>
  </si>
  <si>
    <t>Week End</t>
  </si>
  <si>
    <t>Beginning Cash</t>
  </si>
  <si>
    <t>Inflows</t>
  </si>
  <si>
    <t>Signed Engagements</t>
  </si>
  <si>
    <t>Pipeline (Expected Value)</t>
  </si>
  <si>
    <t>Total Inflows</t>
  </si>
  <si>
    <t>Outflows</t>
  </si>
  <si>
    <t>Total Outflows</t>
  </si>
  <si>
    <t>Net Cash Flow</t>
  </si>
  <si>
    <t>Ending Cash</t>
  </si>
  <si>
    <t>MODEL CHECKS</t>
  </si>
  <si>
    <t>Check</t>
  </si>
  <si>
    <t>Model</t>
  </si>
  <si>
    <t>Independent</t>
  </si>
  <si>
    <t>Status</t>
  </si>
  <si>
    <t>Total inflows tie to the Collections tab</t>
  </si>
  <si>
    <t>Total outflows tie to the Expenses tab</t>
  </si>
  <si>
    <t>Ending cash = beginning cash + sum of weekly net</t>
  </si>
  <si>
    <t>Forecast window spans exactly 91 days</t>
  </si>
  <si>
    <t>Every client's payments sum to the full engagement value</t>
  </si>
  <si>
    <t>Every expense category covers 100% of its monthly cost</t>
  </si>
  <si>
    <t>HEADLINE</t>
  </si>
  <si>
    <t>Trough — lowest ending cash</t>
  </si>
  <si>
    <t>Ending cash, week 13</t>
  </si>
  <si>
    <t>Heaviest single outflow week</t>
  </si>
  <si>
    <t>Total 13-week outflows</t>
  </si>
  <si>
    <t>Signed collections as % of 13-week outflows</t>
  </si>
  <si>
    <t>Signed collections cover part of the burn; the rest of the forecast depends on pipeline converting and on estimated placements happening.</t>
  </si>
  <si>
    <t>SIMULATION — 90% confidence band on ending cash</t>
  </si>
  <si>
    <t>Low case</t>
  </si>
  <si>
    <t>High case</t>
  </si>
  <si>
    <t>Collections — expected cash receipts</t>
  </si>
  <si>
    <t>One row per expected payment. Generated from tabs 1 and 2; dates and values link back to those tabs.</t>
  </si>
  <si>
    <t>Client</t>
  </si>
  <si>
    <t>Type</t>
  </si>
  <si>
    <t>Milestone</t>
  </si>
  <si>
    <t>Bill Date</t>
  </si>
  <si>
    <t>Days to Payment</t>
  </si>
  <si>
    <t>Receipt Date</t>
  </si>
  <si>
    <t>Total Engagement</t>
  </si>
  <si>
    <t>Percent</t>
  </si>
  <si>
    <t>Payment</t>
  </si>
  <si>
    <t>Probability</t>
  </si>
  <si>
    <t>Expected Value of Payment</t>
  </si>
  <si>
    <t>Pipeline</t>
  </si>
  <si>
    <t>P1 — at close (est.)</t>
  </si>
  <si>
    <t>P2 — close +30d (est.)</t>
  </si>
  <si>
    <t>P3 — close +60d (est.)</t>
  </si>
  <si>
    <t>Signed</t>
  </si>
  <si>
    <t>P1 — at signing</t>
  </si>
  <si>
    <t>P2 — 30 days</t>
  </si>
  <si>
    <t>P3 — 60 days</t>
  </si>
  <si>
    <t>P2 — upon placement</t>
  </si>
  <si>
    <t>P2 — upon placement (est.)</t>
  </si>
  <si>
    <t>Total — all payments listed</t>
  </si>
  <si>
    <t>Inside the 13-week forecast window</t>
  </si>
  <si>
    <t>RECONCILIATION — payments must sum to the full engagement / deal value</t>
  </si>
  <si>
    <t>Client / Prospect</t>
  </si>
  <si>
    <t>Value</t>
  </si>
  <si>
    <t>Sum of Payments</t>
  </si>
  <si>
    <t>Difference</t>
  </si>
  <si>
    <t>Rows not reconciling</t>
  </si>
  <si>
    <t>Expenses — expected cash payments</t>
  </si>
  <si>
    <t>Same shape as Collections: bill date + days to payment = payment date. Payments landing on a weekend are pulled to the prior business day.</t>
  </si>
  <si>
    <t>Category</t>
  </si>
  <si>
    <t>Description</t>
  </si>
  <si>
    <t>Payment Date</t>
  </si>
  <si>
    <t>Monthly Amount</t>
  </si>
  <si>
    <t>Payment Amount</t>
  </si>
  <si>
    <t>Insurance — quarterly (3 months of cost)</t>
  </si>
  <si>
    <t>Misc / travel — weekly accrual</t>
  </si>
  <si>
    <t>Payroll (salaried) — 1st of month</t>
  </si>
  <si>
    <t>Payroll (salaried) — 15th of month</t>
  </si>
  <si>
    <t>Payroll taxes &amp; benefits — month-end, paid +5 days</t>
  </si>
  <si>
    <t>Professional fees (legal, accounting) — month-end, paid +30 days</t>
  </si>
  <si>
    <t>Rent — 1st of month</t>
  </si>
  <si>
    <t>Software (CRM, ATS, email) — 15th of month</t>
  </si>
  <si>
    <t>RECONCILIATION — percent x payments per month must cover 100% of the monthly cost</t>
  </si>
  <si>
    <t>Percent each</t>
  </si>
  <si>
    <t>Payments per month</t>
  </si>
  <si>
    <t>Coverage</t>
  </si>
  <si>
    <t>Categories not covering 100%</t>
  </si>
  <si>
    <t>1. Signed Engagements (committed revenue)</t>
  </si>
  <si>
    <t>Engagement Value</t>
  </si>
  <si>
    <t>Start Date</t>
  </si>
  <si>
    <t>Payment Terms</t>
  </si>
  <si>
    <t>Placement Date</t>
  </si>
  <si>
    <t>Time to Pay</t>
  </si>
  <si>
    <t>Apex Industries</t>
  </si>
  <si>
    <t>1/3 at signing, 1/3 at 30d, 1/3 at 60d</t>
  </si>
  <si>
    <t>15 days</t>
  </si>
  <si>
    <t>Cascade Ventures</t>
  </si>
  <si>
    <t>Meridian Health</t>
  </si>
  <si>
    <t>50% at signing, 50% upon placement</t>
  </si>
  <si>
    <t>Signed, placement made Jul 28, 2026</t>
  </si>
  <si>
    <t>Northbridge Capital</t>
  </si>
  <si>
    <t>Signed, no placement yet (estimated Oct 12, 2026)</t>
  </si>
  <si>
    <t>Summit Group</t>
  </si>
  <si>
    <t>2. Pipeline (probability-weighted)</t>
  </si>
  <si>
    <t>Prospect</t>
  </si>
  <si>
    <t>Est. Deal Value</t>
  </si>
  <si>
    <t>Stage</t>
  </si>
  <si>
    <t>Est. Close Date</t>
  </si>
  <si>
    <t>Expected Payment Schedule</t>
  </si>
  <si>
    <t>Atlas Corp</t>
  </si>
  <si>
    <t>Contract sent</t>
  </si>
  <si>
    <t>1/3 at close, 1/3 at 30d, 1/3 at 60d</t>
  </si>
  <si>
    <t>Ironclad Inc.</t>
  </si>
  <si>
    <t>Initial conversation</t>
  </si>
  <si>
    <t>Pinnacle Search</t>
  </si>
  <si>
    <t>Final negotiation</t>
  </si>
  <si>
    <t>Redwood Partners</t>
  </si>
  <si>
    <t>Second meeting scheduled</t>
  </si>
  <si>
    <t>3. Expenses (monthly)</t>
  </si>
  <si>
    <t>Notes</t>
  </si>
  <si>
    <t>Insurance</t>
  </si>
  <si>
    <t>Recurring</t>
  </si>
  <si>
    <t>Quarterly, next payment Sep 1</t>
  </si>
  <si>
    <t>Misc / travel</t>
  </si>
  <si>
    <t>Weekly accrual, spread evenly</t>
  </si>
  <si>
    <t>Payroll (salaried)</t>
  </si>
  <si>
    <t>Paid semi-monthly (1st and 15th)</t>
  </si>
  <si>
    <t>Payroll taxes &amp; benefits</t>
  </si>
  <si>
    <t>Paid monthly, 5 days after month-end</t>
  </si>
  <si>
    <t>Professional fees (legal, accounting)</t>
  </si>
  <si>
    <t>Paid monthly, 30 days after month-end</t>
  </si>
  <si>
    <t>Rent</t>
  </si>
  <si>
    <t>Due 1st of each month</t>
  </si>
  <si>
    <t>Software (CRM, ATS, email)</t>
  </si>
  <si>
    <t>Due 15th of each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</si>
</sst>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$#,##0;&quot;($&quot;#,##0);-"/>
    <numFmt numFmtId="165" formatCode="mmm d&quot;, &quot;yyyy"/>
    <numFmt numFmtId="166" formatCode="ddd mmm d"/>
    <numFmt numFmtId="167" formatCode="&quot;week of &quot;mmm d"/>
    <numFmt numFmtId="168" formatCode="0.0%"/>
    <numFmt numFmtId="169" formatCode="$#,##0.00;&quot;($&quot;#,##0.00);-"/>
    <numFmt numFmtId="170" formatCode="$#,##0"/>
  </numFmts>
  <fonts count="9" x14ac:knownFonts="1">
    <font>
      <color theme="1"/>
      <family val="2"/>
      <scheme val="minor"/>
      <sz val="11"/>
      <name val="Calibri"/>
    </font>
    <font>
      <b/>
      <color rgb="FF1F3B4D"/>
      <family val="2"/>
      <sz val="13"/>
      <name val="Arial"/>
    </font>
    <font>
      <i/>
      <color rgb="FF7F7F7F"/>
      <family val="2"/>
      <sz val="9"/>
      <name val="Arial"/>
    </font>
    <font>
      <b/>
      <color rgb="FF1F3B4D"/>
      <family val="2"/>
      <sz val="10"/>
      <name val="Arial"/>
    </font>
    <font>
      <family val="2"/>
      <sz val="10"/>
      <name val="Arial"/>
    </font>
    <font>
      <color rgb="FF0000FF"/>
      <family val="2"/>
      <sz val="10"/>
      <name val="Arial"/>
    </font>
    <font>
      <b/>
      <color rgb="FFFFFFFF"/>
      <family val="2"/>
      <sz val="10"/>
      <name val="Arial"/>
    </font>
    <font>
      <b/>
      <family val="2"/>
      <sz val="10"/>
      <name val="Arial"/>
    </font>
    <font>
      <color rgb="FF008000"/>
      <family val="2"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1F3B4D"/>
      </patternFill>
    </fill>
    <fill>
      <patternFill patternType="solid">
        <fgColor rgb="FFF5F8FA"/>
      </patternFill>
    </fill>
    <fill>
      <patternFill patternType="solid">
        <fgColor rgb="FFE8EEF2"/>
      </patternFill>
    </fill>
  </fills>
  <borders count="6">
    <border>
      <left/>
      <right/>
      <top/>
      <bottom/>
      <diagonal/>
    </border>
    <border>
      <left style="thin">
        <color rgb="FFBFCBD3"/>
      </left>
      <right style="thin">
        <color rgb="FFBFCBD3"/>
      </right>
      <top style="thin">
        <color rgb="FFBFCBD3"/>
      </top>
      <bottom style="thin">
        <color rgb="FFBFCBD3"/>
      </bottom>
      <diagonal/>
    </border>
    <border>
      <left style="thin">
        <color rgb="FFB7C4CC"/>
      </left>
      <right style="thin">
        <color rgb="FFB7C4CC"/>
      </right>
      <top style="thin">
        <color rgb="FFB7C4CC"/>
      </top>
      <bottom style="thin">
        <color rgb="FFB7C4CC"/>
      </bottom>
      <diagonal/>
    </border>
    <border>
      <left/>
      <right/>
      <top style="thin">
        <color rgb="FF1F3B4D"/>
      </top>
      <bottom/>
      <diagonal/>
    </border>
    <border>
      <left style="thin">
        <color rgb="FFB7C4CC"/>
      </left>
      <right style="thin">
        <color rgb="FFB7C4CC"/>
      </right>
      <top/>
      <bottom style="thin">
        <color rgb="FFB7C4CC"/>
      </bottom>
      <diagonal/>
    </border>
    <border>
      <left/>
      <right/>
      <top style="thin">
        <color rgb="FF1F3B4D"/>
      </top>
      <bottom style="double">
        <color rgb="FF1F3B4D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3" borderId="0" xfId="0" applyFont="1" applyFill="1"/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/>
    <xf numFmtId="166" fontId="7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4" fontId="7" fillId="0" borderId="0" xfId="0" applyNumberFormat="1" applyFont="1"/>
    <xf numFmtId="0" fontId="7" fillId="4" borderId="0" xfId="0" applyFont="1" applyFill="1" applyAlignment="1">
      <alignment horizontal="left" vertical="center"/>
    </xf>
    <xf numFmtId="164" fontId="7" fillId="4" borderId="0" xfId="0" applyNumberFormat="1" applyFont="1" applyFill="1"/>
    <xf numFmtId="0" fontId="8" fillId="4" borderId="2" xfId="0" applyFont="1" applyFill="1" applyBorder="1" applyAlignment="1">
      <alignment horizontal="left" vertical="center" wrapText="1" indent="2"/>
    </xf>
    <xf numFmtId="164" fontId="4" fillId="0" borderId="0" xfId="0" applyNumberFormat="1" applyFont="1"/>
    <xf numFmtId="0" fontId="8" fillId="0" borderId="2" xfId="0" applyFont="1" applyBorder="1" applyAlignment="1">
      <alignment horizontal="left" vertical="center" wrapText="1" indent="2"/>
    </xf>
    <xf numFmtId="164" fontId="7" fillId="0" borderId="3" xfId="0" applyNumberFormat="1" applyFont="1" applyBorder="1"/>
    <xf numFmtId="0" fontId="8" fillId="4" borderId="2" xfId="0" applyFont="1" applyFill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4" borderId="4" xfId="0" applyFont="1" applyFill="1" applyBorder="1" applyAlignment="1">
      <alignment horizontal="left" vertical="center" indent="1"/>
    </xf>
    <xf numFmtId="164" fontId="3" fillId="5" borderId="5" xfId="0" applyNumberFormat="1" applyFont="1" applyFill="1" applyBorder="1"/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6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/>
    <xf numFmtId="165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/>
    <xf numFmtId="168" fontId="4" fillId="4" borderId="1" xfId="0" applyNumberFormat="1" applyFont="1" applyFill="1" applyBorder="1" applyAlignment="1">
      <alignment horizontal="center" vertical="center"/>
    </xf>
    <xf numFmtId="9" fontId="4" fillId="4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/>
    <xf numFmtId="0" fontId="8" fillId="0" borderId="1" xfId="0" applyFont="1" applyBorder="1"/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/>
    <xf numFmtId="168" fontId="4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/>
    <xf numFmtId="0" fontId="7" fillId="5" borderId="0" xfId="0" applyFont="1" applyFill="1"/>
    <xf numFmtId="164" fontId="7" fillId="5" borderId="0" xfId="0" applyNumberFormat="1" applyFont="1" applyFill="1"/>
    <xf numFmtId="169" fontId="4" fillId="0" borderId="1" xfId="0" applyNumberFormat="1" applyFont="1" applyBorder="1"/>
    <xf numFmtId="2" fontId="4" fillId="0" borderId="1" xfId="0" applyNumberFormat="1" applyFont="1" applyBorder="1" applyAlignment="1">
      <alignment horizontal="center" vertical="center"/>
    </xf>
    <xf numFmtId="0" fontId="4" fillId="4" borderId="2" xfId="0" applyFont="1" applyFill="1" applyBorder="1" applyAlignment="1">
      <alignment vertical="center" wrapText="1"/>
    </xf>
    <xf numFmtId="170" fontId="4" fillId="4" borderId="2" xfId="0" applyNumberFormat="1" applyFont="1" applyFill="1" applyBorder="1" applyAlignment="1">
      <alignment horizontal="center" vertical="center"/>
    </xf>
    <xf numFmtId="165" fontId="4" fillId="4" borderId="2" xfId="0" applyNumberFormat="1" applyFont="1" applyFill="1" applyBorder="1" applyAlignment="1">
      <alignment horizontal="center" vertical="center"/>
    </xf>
    <xf numFmtId="165" fontId="4" fillId="4" borderId="2" xfId="0" applyNumberFormat="1" applyFont="1" applyFill="1" applyBorder="1"/>
    <xf numFmtId="0" fontId="4" fillId="4" borderId="2" xfId="0" applyFont="1" applyFill="1" applyBorder="1"/>
    <xf numFmtId="0" fontId="4" fillId="0" borderId="2" xfId="0" applyFont="1" applyBorder="1" applyAlignment="1">
      <alignment vertical="center" wrapText="1"/>
    </xf>
    <xf numFmtId="170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/>
    <xf numFmtId="0" fontId="4" fillId="0" borderId="2" xfId="0" applyFont="1" applyBorder="1"/>
    <xf numFmtId="9" fontId="4" fillId="4" borderId="2" xfId="0" applyNumberFormat="1" applyFont="1" applyFill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F3B4D"/>
    <pageSetUpPr fitToPage="1"/>
  </sheetPr>
  <dimension ref="B2:Q63"/>
  <sheetViews>
    <sheetView workbookViewId="0" showGridLines="0" zoomScale="75">
      <pane xSplit="2" ySplit="13" topLeftCell="D14" activePane="bottomRight" state="frozen"/>
      <selection pane="bottomRight"/>
    </sheetView>
  </sheetViews>
  <sheetFormatPr defaultRowHeight="15" outlineLevelRow="0" outlineLevelCol="0" x14ac:dyDescent="55"/>
  <cols>
    <col min="2" max="2" width="71.5" customWidth="1"/>
    <col min="3" max="15" width="12" customWidth="1"/>
    <col min="16" max="16" width="2" customWidth="1"/>
    <col min="17" max="17" width="14" customWidth="1"/>
  </cols>
  <sheetData>
    <row r="2" ht="17" customHeight="1" spans="2:2" x14ac:dyDescent="0.25">
      <c r="B2" s="1" t="s">
        <v>0</v>
      </c>
    </row>
    <row r="3" spans="2:2" x14ac:dyDescent="0.25">
      <c r="B3" s="2" t="s">
        <v>1</v>
      </c>
    </row>
    <row r="5" spans="2:2" x14ac:dyDescent="0.25">
      <c r="B5" s="3" t="s">
        <v>2</v>
      </c>
    </row>
    <row r="6" spans="2:5" x14ac:dyDescent="0.25">
      <c r="B6" s="4" t="s">
        <v>3</v>
      </c>
      <c r="C6" s="5">
        <v>185000</v>
      </c>
      <c r="E6" s="2" t="s">
        <v>4</v>
      </c>
    </row>
    <row r="8" spans="2:5" x14ac:dyDescent="0.25">
      <c r="B8" s="4" t="s">
        <v>5</v>
      </c>
      <c r="C8" s="6">
        <v>46244</v>
      </c>
      <c r="E8" s="2" t="s">
        <v>6</v>
      </c>
    </row>
    <row r="9" spans="2:2" x14ac:dyDescent="0.25">
      <c r="B9" s="2" t="s">
        <v>7</v>
      </c>
    </row>
    <row r="11" spans="2:17" x14ac:dyDescent="0.25">
      <c r="B11" s="7" t="s">
        <v>8</v>
      </c>
      <c r="C11" s="8" t="s">
        <v>9</v>
      </c>
      <c r="D11" s="8" t="s">
        <v>10</v>
      </c>
      <c r="E11" s="8" t="s">
        <v>11</v>
      </c>
      <c r="F11" s="8" t="s">
        <v>12</v>
      </c>
      <c r="G11" s="8" t="s">
        <v>13</v>
      </c>
      <c r="H11" s="8" t="s">
        <v>14</v>
      </c>
      <c r="I11" s="8" t="s">
        <v>15</v>
      </c>
      <c r="J11" s="8" t="s">
        <v>16</v>
      </c>
      <c r="K11" s="8" t="s">
        <v>17</v>
      </c>
      <c r="L11" s="8" t="s">
        <v>18</v>
      </c>
      <c r="M11" s="8" t="s">
        <v>19</v>
      </c>
      <c r="N11" s="8" t="s">
        <v>20</v>
      </c>
      <c r="O11" s="8" t="s">
        <v>21</v>
      </c>
      <c r="Q11" s="9" t="s">
        <v>22</v>
      </c>
    </row>
    <row r="12" spans="2:15" x14ac:dyDescent="0.25">
      <c r="B12" s="10" t="s">
        <v>23</v>
      </c>
      <c r="C12" s="11">
        <f>'Rolling Cash Flow Projection'!$C$8</f>
      </c>
      <c r="D12" s="11">
        <f>C13+1</f>
      </c>
      <c r="E12" s="11">
        <f>D13+1</f>
      </c>
      <c r="F12" s="11">
        <f>E13+1</f>
      </c>
      <c r="G12" s="11">
        <f>F13+1</f>
      </c>
      <c r="H12" s="11">
        <f>G13+1</f>
      </c>
      <c r="I12" s="11">
        <f>H13+1</f>
      </c>
      <c r="J12" s="11">
        <f>I13+1</f>
      </c>
      <c r="K12" s="11">
        <f>J13+1</f>
      </c>
      <c r="L12" s="11">
        <f>K13+1</f>
      </c>
      <c r="M12" s="11">
        <f>L13+1</f>
      </c>
      <c r="N12" s="11">
        <f>M13+1</f>
      </c>
      <c r="O12" s="11">
        <f>N13+1</f>
      </c>
    </row>
    <row r="13" spans="2:15" x14ac:dyDescent="0.25">
      <c r="B13" s="2" t="s">
        <v>24</v>
      </c>
      <c r="C13" s="12">
        <f>C12+6</f>
      </c>
      <c r="D13" s="12">
        <f>D12+6</f>
      </c>
      <c r="E13" s="12">
        <f>E12+6</f>
      </c>
      <c r="F13" s="12">
        <f>F12+6</f>
      </c>
      <c r="G13" s="12">
        <f>G12+6</f>
      </c>
      <c r="H13" s="12">
        <f>H12+6</f>
      </c>
      <c r="I13" s="12">
        <f>I12+6</f>
      </c>
      <c r="J13" s="12">
        <f>J12+6</f>
      </c>
      <c r="K13" s="12">
        <f>K12+6</f>
      </c>
      <c r="L13" s="12">
        <f>L12+6</f>
      </c>
      <c r="M13" s="12">
        <f>M12+6</f>
      </c>
      <c r="N13" s="12">
        <f>N12+6</f>
      </c>
      <c r="O13" s="12">
        <f>O12+6</f>
      </c>
    </row>
    <row r="14" spans="2:15" x14ac:dyDescent="0.25">
      <c r="B14" s="10" t="s">
        <v>25</v>
      </c>
      <c r="C14" s="13">
        <f>$C$6</f>
      </c>
      <c r="D14" s="13">
        <f>C40</f>
      </c>
      <c r="E14" s="13">
        <f>D40</f>
      </c>
      <c r="F14" s="13">
        <f>E40</f>
      </c>
      <c r="G14" s="13">
        <f>F40</f>
      </c>
      <c r="H14" s="13">
        <f>G40</f>
      </c>
      <c r="I14" s="13">
        <f>H40</f>
      </c>
      <c r="J14" s="13">
        <f>I40</f>
      </c>
      <c r="K14" s="13">
        <f>J40</f>
      </c>
      <c r="L14" s="13">
        <f>K40</f>
      </c>
      <c r="M14" s="13">
        <f>L40</f>
      </c>
      <c r="N14" s="13">
        <f>M40</f>
      </c>
      <c r="O14" s="13">
        <f>N40</f>
      </c>
    </row>
    <row r="15" spans="2:2" x14ac:dyDescent="0.25">
      <c r="B15" s="3" t="s">
        <v>26</v>
      </c>
    </row>
    <row r="16" spans="2:17" x14ac:dyDescent="0.25">
      <c r="B16" s="14" t="s">
        <v>27</v>
      </c>
      <c r="C16" s="15">
        <f>SUM(C17:C21)</f>
      </c>
      <c r="D16" s="15">
        <f>SUM(D17:D21)</f>
      </c>
      <c r="E16" s="15">
        <f>SUM(E17:E21)</f>
      </c>
      <c r="F16" s="15">
        <f>SUM(F17:F21)</f>
      </c>
      <c r="G16" s="15">
        <f>SUM(G17:G21)</f>
      </c>
      <c r="H16" s="15">
        <f>SUM(H17:H21)</f>
      </c>
      <c r="I16" s="15">
        <f>SUM(I17:I21)</f>
      </c>
      <c r="J16" s="15">
        <f>SUM(J17:J21)</f>
      </c>
      <c r="K16" s="15">
        <f>SUM(K17:K21)</f>
      </c>
      <c r="L16" s="15">
        <f>SUM(L17:L21)</f>
      </c>
      <c r="M16" s="15">
        <f>SUM(M17:M21)</f>
      </c>
      <c r="N16" s="15">
        <f>SUM(N17:N21)</f>
      </c>
      <c r="O16" s="15">
        <f>SUM(O17:O21)</f>
      </c>
      <c r="Q16" s="15">
        <f>SUM(C16:O16)</f>
      </c>
    </row>
    <row r="17" spans="2:17" x14ac:dyDescent="0.25">
      <c r="B17" s="16">
        <f>'1. Signed Engagements'!$A$6</f>
      </c>
      <c r="C17" s="17">
        <f>SUMIFS(Collections!$L$4:$L$28,Collections!$B$4:$B$28,$B17,Collections!$G$4:$G$28,"&gt;="&amp;C$12,Collections!$G$4:$G$28,"&lt;="&amp;C$13)</f>
      </c>
      <c r="D17" s="17">
        <f>SUMIFS(Collections!$L$4:$L$28,Collections!$B$4:$B$28,$B17,Collections!$G$4:$G$28,"&gt;="&amp;D$12,Collections!$G$4:$G$28,"&lt;="&amp;D$13)</f>
      </c>
      <c r="E17" s="17">
        <f>SUMIFS(Collections!$L$4:$L$28,Collections!$B$4:$B$28,$B17,Collections!$G$4:$G$28,"&gt;="&amp;E$12,Collections!$G$4:$G$28,"&lt;="&amp;E$13)</f>
      </c>
      <c r="F17" s="17">
        <f>SUMIFS(Collections!$L$4:$L$28,Collections!$B$4:$B$28,$B17,Collections!$G$4:$G$28,"&gt;="&amp;F$12,Collections!$G$4:$G$28,"&lt;="&amp;F$13)</f>
      </c>
      <c r="G17" s="17">
        <f>SUMIFS(Collections!$L$4:$L$28,Collections!$B$4:$B$28,$B17,Collections!$G$4:$G$28,"&gt;="&amp;G$12,Collections!$G$4:$G$28,"&lt;="&amp;G$13)</f>
      </c>
      <c r="H17" s="17">
        <f>SUMIFS(Collections!$L$4:$L$28,Collections!$B$4:$B$28,$B17,Collections!$G$4:$G$28,"&gt;="&amp;H$12,Collections!$G$4:$G$28,"&lt;="&amp;H$13)</f>
      </c>
      <c r="I17" s="17">
        <f>SUMIFS(Collections!$L$4:$L$28,Collections!$B$4:$B$28,$B17,Collections!$G$4:$G$28,"&gt;="&amp;I$12,Collections!$G$4:$G$28,"&lt;="&amp;I$13)</f>
      </c>
      <c r="J17" s="17">
        <f>SUMIFS(Collections!$L$4:$L$28,Collections!$B$4:$B$28,$B17,Collections!$G$4:$G$28,"&gt;="&amp;J$12,Collections!$G$4:$G$28,"&lt;="&amp;J$13)</f>
      </c>
      <c r="K17" s="17">
        <f>SUMIFS(Collections!$L$4:$L$28,Collections!$B$4:$B$28,$B17,Collections!$G$4:$G$28,"&gt;="&amp;K$12,Collections!$G$4:$G$28,"&lt;="&amp;K$13)</f>
      </c>
      <c r="L17" s="17">
        <f>SUMIFS(Collections!$L$4:$L$28,Collections!$B$4:$B$28,$B17,Collections!$G$4:$G$28,"&gt;="&amp;L$12,Collections!$G$4:$G$28,"&lt;="&amp;L$13)</f>
      </c>
      <c r="M17" s="17">
        <f>SUMIFS(Collections!$L$4:$L$28,Collections!$B$4:$B$28,$B17,Collections!$G$4:$G$28,"&gt;="&amp;M$12,Collections!$G$4:$G$28,"&lt;="&amp;M$13)</f>
      </c>
      <c r="N17" s="17">
        <f>SUMIFS(Collections!$L$4:$L$28,Collections!$B$4:$B$28,$B17,Collections!$G$4:$G$28,"&gt;="&amp;N$12,Collections!$G$4:$G$28,"&lt;="&amp;N$13)</f>
      </c>
      <c r="O17" s="17">
        <f>SUMIFS(Collections!$L$4:$L$28,Collections!$B$4:$B$28,$B17,Collections!$G$4:$G$28,"&gt;="&amp;O$12,Collections!$G$4:$G$28,"&lt;="&amp;O$13)</f>
      </c>
      <c r="Q17" s="17">
        <f>SUM(C17:O17)</f>
      </c>
    </row>
    <row r="18" spans="2:17" x14ac:dyDescent="0.25">
      <c r="B18" s="18">
        <f>'1. Signed Engagements'!$A$7</f>
      </c>
      <c r="C18" s="17">
        <f>SUMIFS(Collections!$L$4:$L$28,Collections!$B$4:$B$28,$B18,Collections!$G$4:$G$28,"&gt;="&amp;C$12,Collections!$G$4:$G$28,"&lt;="&amp;C$13)</f>
      </c>
      <c r="D18" s="17">
        <f>SUMIFS(Collections!$L$4:$L$28,Collections!$B$4:$B$28,$B18,Collections!$G$4:$G$28,"&gt;="&amp;D$12,Collections!$G$4:$G$28,"&lt;="&amp;D$13)</f>
      </c>
      <c r="E18" s="17">
        <f>SUMIFS(Collections!$L$4:$L$28,Collections!$B$4:$B$28,$B18,Collections!$G$4:$G$28,"&gt;="&amp;E$12,Collections!$G$4:$G$28,"&lt;="&amp;E$13)</f>
      </c>
      <c r="F18" s="17">
        <f>SUMIFS(Collections!$L$4:$L$28,Collections!$B$4:$B$28,$B18,Collections!$G$4:$G$28,"&gt;="&amp;F$12,Collections!$G$4:$G$28,"&lt;="&amp;F$13)</f>
      </c>
      <c r="G18" s="17">
        <f>SUMIFS(Collections!$L$4:$L$28,Collections!$B$4:$B$28,$B18,Collections!$G$4:$G$28,"&gt;="&amp;G$12,Collections!$G$4:$G$28,"&lt;="&amp;G$13)</f>
      </c>
      <c r="H18" s="17">
        <f>SUMIFS(Collections!$L$4:$L$28,Collections!$B$4:$B$28,$B18,Collections!$G$4:$G$28,"&gt;="&amp;H$12,Collections!$G$4:$G$28,"&lt;="&amp;H$13)</f>
      </c>
      <c r="I18" s="17">
        <f>SUMIFS(Collections!$L$4:$L$28,Collections!$B$4:$B$28,$B18,Collections!$G$4:$G$28,"&gt;="&amp;I$12,Collections!$G$4:$G$28,"&lt;="&amp;I$13)</f>
      </c>
      <c r="J18" s="17">
        <f>SUMIFS(Collections!$L$4:$L$28,Collections!$B$4:$B$28,$B18,Collections!$G$4:$G$28,"&gt;="&amp;J$12,Collections!$G$4:$G$28,"&lt;="&amp;J$13)</f>
      </c>
      <c r="K18" s="17">
        <f>SUMIFS(Collections!$L$4:$L$28,Collections!$B$4:$B$28,$B18,Collections!$G$4:$G$28,"&gt;="&amp;K$12,Collections!$G$4:$G$28,"&lt;="&amp;K$13)</f>
      </c>
      <c r="L18" s="17">
        <f>SUMIFS(Collections!$L$4:$L$28,Collections!$B$4:$B$28,$B18,Collections!$G$4:$G$28,"&gt;="&amp;L$12,Collections!$G$4:$G$28,"&lt;="&amp;L$13)</f>
      </c>
      <c r="M18" s="17">
        <f>SUMIFS(Collections!$L$4:$L$28,Collections!$B$4:$B$28,$B18,Collections!$G$4:$G$28,"&gt;="&amp;M$12,Collections!$G$4:$G$28,"&lt;="&amp;M$13)</f>
      </c>
      <c r="N18" s="17">
        <f>SUMIFS(Collections!$L$4:$L$28,Collections!$B$4:$B$28,$B18,Collections!$G$4:$G$28,"&gt;="&amp;N$12,Collections!$G$4:$G$28,"&lt;="&amp;N$13)</f>
      </c>
      <c r="O18" s="17">
        <f>SUMIFS(Collections!$L$4:$L$28,Collections!$B$4:$B$28,$B18,Collections!$G$4:$G$28,"&gt;="&amp;O$12,Collections!$G$4:$G$28,"&lt;="&amp;O$13)</f>
      </c>
      <c r="Q18" s="17">
        <f>SUM(C18:O18)</f>
      </c>
    </row>
    <row r="19" spans="2:17" x14ac:dyDescent="0.25">
      <c r="B19" s="16">
        <f>'1. Signed Engagements'!$A$8</f>
      </c>
      <c r="C19" s="17">
        <f>SUMIFS(Collections!$L$4:$L$28,Collections!$B$4:$B$28,$B19,Collections!$G$4:$G$28,"&gt;="&amp;C$12,Collections!$G$4:$G$28,"&lt;="&amp;C$13)</f>
      </c>
      <c r="D19" s="17">
        <f>SUMIFS(Collections!$L$4:$L$28,Collections!$B$4:$B$28,$B19,Collections!$G$4:$G$28,"&gt;="&amp;D$12,Collections!$G$4:$G$28,"&lt;="&amp;D$13)</f>
      </c>
      <c r="E19" s="17">
        <f>SUMIFS(Collections!$L$4:$L$28,Collections!$B$4:$B$28,$B19,Collections!$G$4:$G$28,"&gt;="&amp;E$12,Collections!$G$4:$G$28,"&lt;="&amp;E$13)</f>
      </c>
      <c r="F19" s="17">
        <f>SUMIFS(Collections!$L$4:$L$28,Collections!$B$4:$B$28,$B19,Collections!$G$4:$G$28,"&gt;="&amp;F$12,Collections!$G$4:$G$28,"&lt;="&amp;F$13)</f>
      </c>
      <c r="G19" s="17">
        <f>SUMIFS(Collections!$L$4:$L$28,Collections!$B$4:$B$28,$B19,Collections!$G$4:$G$28,"&gt;="&amp;G$12,Collections!$G$4:$G$28,"&lt;="&amp;G$13)</f>
      </c>
      <c r="H19" s="17">
        <f>SUMIFS(Collections!$L$4:$L$28,Collections!$B$4:$B$28,$B19,Collections!$G$4:$G$28,"&gt;="&amp;H$12,Collections!$G$4:$G$28,"&lt;="&amp;H$13)</f>
      </c>
      <c r="I19" s="17">
        <f>SUMIFS(Collections!$L$4:$L$28,Collections!$B$4:$B$28,$B19,Collections!$G$4:$G$28,"&gt;="&amp;I$12,Collections!$G$4:$G$28,"&lt;="&amp;I$13)</f>
      </c>
      <c r="J19" s="17">
        <f>SUMIFS(Collections!$L$4:$L$28,Collections!$B$4:$B$28,$B19,Collections!$G$4:$G$28,"&gt;="&amp;J$12,Collections!$G$4:$G$28,"&lt;="&amp;J$13)</f>
      </c>
      <c r="K19" s="17">
        <f>SUMIFS(Collections!$L$4:$L$28,Collections!$B$4:$B$28,$B19,Collections!$G$4:$G$28,"&gt;="&amp;K$12,Collections!$G$4:$G$28,"&lt;="&amp;K$13)</f>
      </c>
      <c r="L19" s="17">
        <f>SUMIFS(Collections!$L$4:$L$28,Collections!$B$4:$B$28,$B19,Collections!$G$4:$G$28,"&gt;="&amp;L$12,Collections!$G$4:$G$28,"&lt;="&amp;L$13)</f>
      </c>
      <c r="M19" s="17">
        <f>SUMIFS(Collections!$L$4:$L$28,Collections!$B$4:$B$28,$B19,Collections!$G$4:$G$28,"&gt;="&amp;M$12,Collections!$G$4:$G$28,"&lt;="&amp;M$13)</f>
      </c>
      <c r="N19" s="17">
        <f>SUMIFS(Collections!$L$4:$L$28,Collections!$B$4:$B$28,$B19,Collections!$G$4:$G$28,"&gt;="&amp;N$12,Collections!$G$4:$G$28,"&lt;="&amp;N$13)</f>
      </c>
      <c r="O19" s="17">
        <f>SUMIFS(Collections!$L$4:$L$28,Collections!$B$4:$B$28,$B19,Collections!$G$4:$G$28,"&gt;="&amp;O$12,Collections!$G$4:$G$28,"&lt;="&amp;O$13)</f>
      </c>
      <c r="Q19" s="17">
        <f>SUM(C19:O19)</f>
      </c>
    </row>
    <row r="20" spans="2:17" x14ac:dyDescent="0.25">
      <c r="B20" s="18">
        <f>'1. Signed Engagements'!$A$9</f>
      </c>
      <c r="C20" s="17">
        <f>SUMIFS(Collections!$L$4:$L$28,Collections!$B$4:$B$28,$B20,Collections!$G$4:$G$28,"&gt;="&amp;C$12,Collections!$G$4:$G$28,"&lt;="&amp;C$13)</f>
      </c>
      <c r="D20" s="17">
        <f>SUMIFS(Collections!$L$4:$L$28,Collections!$B$4:$B$28,$B20,Collections!$G$4:$G$28,"&gt;="&amp;D$12,Collections!$G$4:$G$28,"&lt;="&amp;D$13)</f>
      </c>
      <c r="E20" s="17">
        <f>SUMIFS(Collections!$L$4:$L$28,Collections!$B$4:$B$28,$B20,Collections!$G$4:$G$28,"&gt;="&amp;E$12,Collections!$G$4:$G$28,"&lt;="&amp;E$13)</f>
      </c>
      <c r="F20" s="17">
        <f>SUMIFS(Collections!$L$4:$L$28,Collections!$B$4:$B$28,$B20,Collections!$G$4:$G$28,"&gt;="&amp;F$12,Collections!$G$4:$G$28,"&lt;="&amp;F$13)</f>
      </c>
      <c r="G20" s="17">
        <f>SUMIFS(Collections!$L$4:$L$28,Collections!$B$4:$B$28,$B20,Collections!$G$4:$G$28,"&gt;="&amp;G$12,Collections!$G$4:$G$28,"&lt;="&amp;G$13)</f>
      </c>
      <c r="H20" s="17">
        <f>SUMIFS(Collections!$L$4:$L$28,Collections!$B$4:$B$28,$B20,Collections!$G$4:$G$28,"&gt;="&amp;H$12,Collections!$G$4:$G$28,"&lt;="&amp;H$13)</f>
      </c>
      <c r="I20" s="17">
        <f>SUMIFS(Collections!$L$4:$L$28,Collections!$B$4:$B$28,$B20,Collections!$G$4:$G$28,"&gt;="&amp;I$12,Collections!$G$4:$G$28,"&lt;="&amp;I$13)</f>
      </c>
      <c r="J20" s="17">
        <f>SUMIFS(Collections!$L$4:$L$28,Collections!$B$4:$B$28,$B20,Collections!$G$4:$G$28,"&gt;="&amp;J$12,Collections!$G$4:$G$28,"&lt;="&amp;J$13)</f>
      </c>
      <c r="K20" s="17">
        <f>SUMIFS(Collections!$L$4:$L$28,Collections!$B$4:$B$28,$B20,Collections!$G$4:$G$28,"&gt;="&amp;K$12,Collections!$G$4:$G$28,"&lt;="&amp;K$13)</f>
      </c>
      <c r="L20" s="17">
        <f>SUMIFS(Collections!$L$4:$L$28,Collections!$B$4:$B$28,$B20,Collections!$G$4:$G$28,"&gt;="&amp;L$12,Collections!$G$4:$G$28,"&lt;="&amp;L$13)</f>
      </c>
      <c r="M20" s="17">
        <f>SUMIFS(Collections!$L$4:$L$28,Collections!$B$4:$B$28,$B20,Collections!$G$4:$G$28,"&gt;="&amp;M$12,Collections!$G$4:$G$28,"&lt;="&amp;M$13)</f>
      </c>
      <c r="N20" s="17">
        <f>SUMIFS(Collections!$L$4:$L$28,Collections!$B$4:$B$28,$B20,Collections!$G$4:$G$28,"&gt;="&amp;N$12,Collections!$G$4:$G$28,"&lt;="&amp;N$13)</f>
      </c>
      <c r="O20" s="17">
        <f>SUMIFS(Collections!$L$4:$L$28,Collections!$B$4:$B$28,$B20,Collections!$G$4:$G$28,"&gt;="&amp;O$12,Collections!$G$4:$G$28,"&lt;="&amp;O$13)</f>
      </c>
      <c r="Q20" s="17">
        <f>SUM(C20:O20)</f>
      </c>
    </row>
    <row r="21" spans="2:17" x14ac:dyDescent="0.25">
      <c r="B21" s="16">
        <f>'1. Signed Engagements'!$A$10</f>
      </c>
      <c r="C21" s="17">
        <f>SUMIFS(Collections!$L$4:$L$28,Collections!$B$4:$B$28,$B21,Collections!$G$4:$G$28,"&gt;="&amp;C$12,Collections!$G$4:$G$28,"&lt;="&amp;C$13)</f>
      </c>
      <c r="D21" s="17">
        <f>SUMIFS(Collections!$L$4:$L$28,Collections!$B$4:$B$28,$B21,Collections!$G$4:$G$28,"&gt;="&amp;D$12,Collections!$G$4:$G$28,"&lt;="&amp;D$13)</f>
      </c>
      <c r="E21" s="17">
        <f>SUMIFS(Collections!$L$4:$L$28,Collections!$B$4:$B$28,$B21,Collections!$G$4:$G$28,"&gt;="&amp;E$12,Collections!$G$4:$G$28,"&lt;="&amp;E$13)</f>
      </c>
      <c r="F21" s="17">
        <f>SUMIFS(Collections!$L$4:$L$28,Collections!$B$4:$B$28,$B21,Collections!$G$4:$G$28,"&gt;="&amp;F$12,Collections!$G$4:$G$28,"&lt;="&amp;F$13)</f>
      </c>
      <c r="G21" s="17">
        <f>SUMIFS(Collections!$L$4:$L$28,Collections!$B$4:$B$28,$B21,Collections!$G$4:$G$28,"&gt;="&amp;G$12,Collections!$G$4:$G$28,"&lt;="&amp;G$13)</f>
      </c>
      <c r="H21" s="17">
        <f>SUMIFS(Collections!$L$4:$L$28,Collections!$B$4:$B$28,$B21,Collections!$G$4:$G$28,"&gt;="&amp;H$12,Collections!$G$4:$G$28,"&lt;="&amp;H$13)</f>
      </c>
      <c r="I21" s="17">
        <f>SUMIFS(Collections!$L$4:$L$28,Collections!$B$4:$B$28,$B21,Collections!$G$4:$G$28,"&gt;="&amp;I$12,Collections!$G$4:$G$28,"&lt;="&amp;I$13)</f>
      </c>
      <c r="J21" s="17">
        <f>SUMIFS(Collections!$L$4:$L$28,Collections!$B$4:$B$28,$B21,Collections!$G$4:$G$28,"&gt;="&amp;J$12,Collections!$G$4:$G$28,"&lt;="&amp;J$13)</f>
      </c>
      <c r="K21" s="17">
        <f>SUMIFS(Collections!$L$4:$L$28,Collections!$B$4:$B$28,$B21,Collections!$G$4:$G$28,"&gt;="&amp;K$12,Collections!$G$4:$G$28,"&lt;="&amp;K$13)</f>
      </c>
      <c r="L21" s="17">
        <f>SUMIFS(Collections!$L$4:$L$28,Collections!$B$4:$B$28,$B21,Collections!$G$4:$G$28,"&gt;="&amp;L$12,Collections!$G$4:$G$28,"&lt;="&amp;L$13)</f>
      </c>
      <c r="M21" s="17">
        <f>SUMIFS(Collections!$L$4:$L$28,Collections!$B$4:$B$28,$B21,Collections!$G$4:$G$28,"&gt;="&amp;M$12,Collections!$G$4:$G$28,"&lt;="&amp;M$13)</f>
      </c>
      <c r="N21" s="17">
        <f>SUMIFS(Collections!$L$4:$L$28,Collections!$B$4:$B$28,$B21,Collections!$G$4:$G$28,"&gt;="&amp;N$12,Collections!$G$4:$G$28,"&lt;="&amp;N$13)</f>
      </c>
      <c r="O21" s="17">
        <f>SUMIFS(Collections!$L$4:$L$28,Collections!$B$4:$B$28,$B21,Collections!$G$4:$G$28,"&gt;="&amp;O$12,Collections!$G$4:$G$28,"&lt;="&amp;O$13)</f>
      </c>
      <c r="Q21" s="17">
        <f>SUM(C21:O21)</f>
      </c>
    </row>
    <row r="22" spans="2:17" x14ac:dyDescent="0.25">
      <c r="B22" s="14" t="s">
        <v>28</v>
      </c>
      <c r="C22" s="15">
        <f>SUM(C23:C26)</f>
      </c>
      <c r="D22" s="15">
        <f>SUM(D23:D26)</f>
      </c>
      <c r="E22" s="15">
        <f>SUM(E23:E26)</f>
      </c>
      <c r="F22" s="15">
        <f>SUM(F23:F26)</f>
      </c>
      <c r="G22" s="15">
        <f>SUM(G23:G26)</f>
      </c>
      <c r="H22" s="15">
        <f>SUM(H23:H26)</f>
      </c>
      <c r="I22" s="15">
        <f>SUM(I23:I26)</f>
      </c>
      <c r="J22" s="15">
        <f>SUM(J23:J26)</f>
      </c>
      <c r="K22" s="15">
        <f>SUM(K23:K26)</f>
      </c>
      <c r="L22" s="15">
        <f>SUM(L23:L26)</f>
      </c>
      <c r="M22" s="15">
        <f>SUM(M23:M26)</f>
      </c>
      <c r="N22" s="15">
        <f>SUM(N23:N26)</f>
      </c>
      <c r="O22" s="15">
        <f>SUM(O23:O26)</f>
      </c>
      <c r="Q22" s="15">
        <f>SUM(C22:O22)</f>
      </c>
    </row>
    <row r="23" spans="2:17" x14ac:dyDescent="0.25">
      <c r="B23" s="16">
        <f>'2. Pipeline'!$A$6</f>
      </c>
      <c r="C23" s="17">
        <f>SUMIFS(Collections!$L$4:$L$28,Collections!$B$4:$B$28,$B23,Collections!$G$4:$G$28,"&gt;="&amp;C$12,Collections!$G$4:$G$28,"&lt;="&amp;C$13)</f>
      </c>
      <c r="D23" s="17">
        <f>SUMIFS(Collections!$L$4:$L$28,Collections!$B$4:$B$28,$B23,Collections!$G$4:$G$28,"&gt;="&amp;D$12,Collections!$G$4:$G$28,"&lt;="&amp;D$13)</f>
      </c>
      <c r="E23" s="17">
        <f>SUMIFS(Collections!$L$4:$L$28,Collections!$B$4:$B$28,$B23,Collections!$G$4:$G$28,"&gt;="&amp;E$12,Collections!$G$4:$G$28,"&lt;="&amp;E$13)</f>
      </c>
      <c r="F23" s="17">
        <f>SUMIFS(Collections!$L$4:$L$28,Collections!$B$4:$B$28,$B23,Collections!$G$4:$G$28,"&gt;="&amp;F$12,Collections!$G$4:$G$28,"&lt;="&amp;F$13)</f>
      </c>
      <c r="G23" s="17">
        <f>SUMIFS(Collections!$L$4:$L$28,Collections!$B$4:$B$28,$B23,Collections!$G$4:$G$28,"&gt;="&amp;G$12,Collections!$G$4:$G$28,"&lt;="&amp;G$13)</f>
      </c>
      <c r="H23" s="17">
        <f>SUMIFS(Collections!$L$4:$L$28,Collections!$B$4:$B$28,$B23,Collections!$G$4:$G$28,"&gt;="&amp;H$12,Collections!$G$4:$G$28,"&lt;="&amp;H$13)</f>
      </c>
      <c r="I23" s="17">
        <f>SUMIFS(Collections!$L$4:$L$28,Collections!$B$4:$B$28,$B23,Collections!$G$4:$G$28,"&gt;="&amp;I$12,Collections!$G$4:$G$28,"&lt;="&amp;I$13)</f>
      </c>
      <c r="J23" s="17">
        <f>SUMIFS(Collections!$L$4:$L$28,Collections!$B$4:$B$28,$B23,Collections!$G$4:$G$28,"&gt;="&amp;J$12,Collections!$G$4:$G$28,"&lt;="&amp;J$13)</f>
      </c>
      <c r="K23" s="17">
        <f>SUMIFS(Collections!$L$4:$L$28,Collections!$B$4:$B$28,$B23,Collections!$G$4:$G$28,"&gt;="&amp;K$12,Collections!$G$4:$G$28,"&lt;="&amp;K$13)</f>
      </c>
      <c r="L23" s="17">
        <f>SUMIFS(Collections!$L$4:$L$28,Collections!$B$4:$B$28,$B23,Collections!$G$4:$G$28,"&gt;="&amp;L$12,Collections!$G$4:$G$28,"&lt;="&amp;L$13)</f>
      </c>
      <c r="M23" s="17">
        <f>SUMIFS(Collections!$L$4:$L$28,Collections!$B$4:$B$28,$B23,Collections!$G$4:$G$28,"&gt;="&amp;M$12,Collections!$G$4:$G$28,"&lt;="&amp;M$13)</f>
      </c>
      <c r="N23" s="17">
        <f>SUMIFS(Collections!$L$4:$L$28,Collections!$B$4:$B$28,$B23,Collections!$G$4:$G$28,"&gt;="&amp;N$12,Collections!$G$4:$G$28,"&lt;="&amp;N$13)</f>
      </c>
      <c r="O23" s="17">
        <f>SUMIFS(Collections!$L$4:$L$28,Collections!$B$4:$B$28,$B23,Collections!$G$4:$G$28,"&gt;="&amp;O$12,Collections!$G$4:$G$28,"&lt;="&amp;O$13)</f>
      </c>
      <c r="Q23" s="17">
        <f>SUM(C23:O23)</f>
      </c>
    </row>
    <row r="24" spans="2:17" x14ac:dyDescent="0.25">
      <c r="B24" s="18">
        <f>'2. Pipeline'!$A$7</f>
      </c>
      <c r="C24" s="17">
        <f>SUMIFS(Collections!$L$4:$L$28,Collections!$B$4:$B$28,$B24,Collections!$G$4:$G$28,"&gt;="&amp;C$12,Collections!$G$4:$G$28,"&lt;="&amp;C$13)</f>
      </c>
      <c r="D24" s="17">
        <f>SUMIFS(Collections!$L$4:$L$28,Collections!$B$4:$B$28,$B24,Collections!$G$4:$G$28,"&gt;="&amp;D$12,Collections!$G$4:$G$28,"&lt;="&amp;D$13)</f>
      </c>
      <c r="E24" s="17">
        <f>SUMIFS(Collections!$L$4:$L$28,Collections!$B$4:$B$28,$B24,Collections!$G$4:$G$28,"&gt;="&amp;E$12,Collections!$G$4:$G$28,"&lt;="&amp;E$13)</f>
      </c>
      <c r="F24" s="17">
        <f>SUMIFS(Collections!$L$4:$L$28,Collections!$B$4:$B$28,$B24,Collections!$G$4:$G$28,"&gt;="&amp;F$12,Collections!$G$4:$G$28,"&lt;="&amp;F$13)</f>
      </c>
      <c r="G24" s="17">
        <f>SUMIFS(Collections!$L$4:$L$28,Collections!$B$4:$B$28,$B24,Collections!$G$4:$G$28,"&gt;="&amp;G$12,Collections!$G$4:$G$28,"&lt;="&amp;G$13)</f>
      </c>
      <c r="H24" s="17">
        <f>SUMIFS(Collections!$L$4:$L$28,Collections!$B$4:$B$28,$B24,Collections!$G$4:$G$28,"&gt;="&amp;H$12,Collections!$G$4:$G$28,"&lt;="&amp;H$13)</f>
      </c>
      <c r="I24" s="17">
        <f>SUMIFS(Collections!$L$4:$L$28,Collections!$B$4:$B$28,$B24,Collections!$G$4:$G$28,"&gt;="&amp;I$12,Collections!$G$4:$G$28,"&lt;="&amp;I$13)</f>
      </c>
      <c r="J24" s="17">
        <f>SUMIFS(Collections!$L$4:$L$28,Collections!$B$4:$B$28,$B24,Collections!$G$4:$G$28,"&gt;="&amp;J$12,Collections!$G$4:$G$28,"&lt;="&amp;J$13)</f>
      </c>
      <c r="K24" s="17">
        <f>SUMIFS(Collections!$L$4:$L$28,Collections!$B$4:$B$28,$B24,Collections!$G$4:$G$28,"&gt;="&amp;K$12,Collections!$G$4:$G$28,"&lt;="&amp;K$13)</f>
      </c>
      <c r="L24" s="17">
        <f>SUMIFS(Collections!$L$4:$L$28,Collections!$B$4:$B$28,$B24,Collections!$G$4:$G$28,"&gt;="&amp;L$12,Collections!$G$4:$G$28,"&lt;="&amp;L$13)</f>
      </c>
      <c r="M24" s="17">
        <f>SUMIFS(Collections!$L$4:$L$28,Collections!$B$4:$B$28,$B24,Collections!$G$4:$G$28,"&gt;="&amp;M$12,Collections!$G$4:$G$28,"&lt;="&amp;M$13)</f>
      </c>
      <c r="N24" s="17">
        <f>SUMIFS(Collections!$L$4:$L$28,Collections!$B$4:$B$28,$B24,Collections!$G$4:$G$28,"&gt;="&amp;N$12,Collections!$G$4:$G$28,"&lt;="&amp;N$13)</f>
      </c>
      <c r="O24" s="17">
        <f>SUMIFS(Collections!$L$4:$L$28,Collections!$B$4:$B$28,$B24,Collections!$G$4:$G$28,"&gt;="&amp;O$12,Collections!$G$4:$G$28,"&lt;="&amp;O$13)</f>
      </c>
      <c r="Q24" s="17">
        <f>SUM(C24:O24)</f>
      </c>
    </row>
    <row r="25" spans="2:17" x14ac:dyDescent="0.25">
      <c r="B25" s="16">
        <f>'2. Pipeline'!$A$8</f>
      </c>
      <c r="C25" s="17">
        <f>SUMIFS(Collections!$L$4:$L$28,Collections!$B$4:$B$28,$B25,Collections!$G$4:$G$28,"&gt;="&amp;C$12,Collections!$G$4:$G$28,"&lt;="&amp;C$13)</f>
      </c>
      <c r="D25" s="17">
        <f>SUMIFS(Collections!$L$4:$L$28,Collections!$B$4:$B$28,$B25,Collections!$G$4:$G$28,"&gt;="&amp;D$12,Collections!$G$4:$G$28,"&lt;="&amp;D$13)</f>
      </c>
      <c r="E25" s="17">
        <f>SUMIFS(Collections!$L$4:$L$28,Collections!$B$4:$B$28,$B25,Collections!$G$4:$G$28,"&gt;="&amp;E$12,Collections!$G$4:$G$28,"&lt;="&amp;E$13)</f>
      </c>
      <c r="F25" s="17">
        <f>SUMIFS(Collections!$L$4:$L$28,Collections!$B$4:$B$28,$B25,Collections!$G$4:$G$28,"&gt;="&amp;F$12,Collections!$G$4:$G$28,"&lt;="&amp;F$13)</f>
      </c>
      <c r="G25" s="17">
        <f>SUMIFS(Collections!$L$4:$L$28,Collections!$B$4:$B$28,$B25,Collections!$G$4:$G$28,"&gt;="&amp;G$12,Collections!$G$4:$G$28,"&lt;="&amp;G$13)</f>
      </c>
      <c r="H25" s="17">
        <f>SUMIFS(Collections!$L$4:$L$28,Collections!$B$4:$B$28,$B25,Collections!$G$4:$G$28,"&gt;="&amp;H$12,Collections!$G$4:$G$28,"&lt;="&amp;H$13)</f>
      </c>
      <c r="I25" s="17">
        <f>SUMIFS(Collections!$L$4:$L$28,Collections!$B$4:$B$28,$B25,Collections!$G$4:$G$28,"&gt;="&amp;I$12,Collections!$G$4:$G$28,"&lt;="&amp;I$13)</f>
      </c>
      <c r="J25" s="17">
        <f>SUMIFS(Collections!$L$4:$L$28,Collections!$B$4:$B$28,$B25,Collections!$G$4:$G$28,"&gt;="&amp;J$12,Collections!$G$4:$G$28,"&lt;="&amp;J$13)</f>
      </c>
      <c r="K25" s="17">
        <f>SUMIFS(Collections!$L$4:$L$28,Collections!$B$4:$B$28,$B25,Collections!$G$4:$G$28,"&gt;="&amp;K$12,Collections!$G$4:$G$28,"&lt;="&amp;K$13)</f>
      </c>
      <c r="L25" s="17">
        <f>SUMIFS(Collections!$L$4:$L$28,Collections!$B$4:$B$28,$B25,Collections!$G$4:$G$28,"&gt;="&amp;L$12,Collections!$G$4:$G$28,"&lt;="&amp;L$13)</f>
      </c>
      <c r="M25" s="17">
        <f>SUMIFS(Collections!$L$4:$L$28,Collections!$B$4:$B$28,$B25,Collections!$G$4:$G$28,"&gt;="&amp;M$12,Collections!$G$4:$G$28,"&lt;="&amp;M$13)</f>
      </c>
      <c r="N25" s="17">
        <f>SUMIFS(Collections!$L$4:$L$28,Collections!$B$4:$B$28,$B25,Collections!$G$4:$G$28,"&gt;="&amp;N$12,Collections!$G$4:$G$28,"&lt;="&amp;N$13)</f>
      </c>
      <c r="O25" s="17">
        <f>SUMIFS(Collections!$L$4:$L$28,Collections!$B$4:$B$28,$B25,Collections!$G$4:$G$28,"&gt;="&amp;O$12,Collections!$G$4:$G$28,"&lt;="&amp;O$13)</f>
      </c>
      <c r="Q25" s="17">
        <f>SUM(C25:O25)</f>
      </c>
    </row>
    <row r="26" spans="2:17" x14ac:dyDescent="0.25">
      <c r="B26" s="18">
        <f>'2. Pipeline'!$A$9</f>
      </c>
      <c r="C26" s="17">
        <f>SUMIFS(Collections!$L$4:$L$28,Collections!$B$4:$B$28,$B26,Collections!$G$4:$G$28,"&gt;="&amp;C$12,Collections!$G$4:$G$28,"&lt;="&amp;C$13)</f>
      </c>
      <c r="D26" s="17">
        <f>SUMIFS(Collections!$L$4:$L$28,Collections!$B$4:$B$28,$B26,Collections!$G$4:$G$28,"&gt;="&amp;D$12,Collections!$G$4:$G$28,"&lt;="&amp;D$13)</f>
      </c>
      <c r="E26" s="17">
        <f>SUMIFS(Collections!$L$4:$L$28,Collections!$B$4:$B$28,$B26,Collections!$G$4:$G$28,"&gt;="&amp;E$12,Collections!$G$4:$G$28,"&lt;="&amp;E$13)</f>
      </c>
      <c r="F26" s="17">
        <f>SUMIFS(Collections!$L$4:$L$28,Collections!$B$4:$B$28,$B26,Collections!$G$4:$G$28,"&gt;="&amp;F$12,Collections!$G$4:$G$28,"&lt;="&amp;F$13)</f>
      </c>
      <c r="G26" s="17">
        <f>SUMIFS(Collections!$L$4:$L$28,Collections!$B$4:$B$28,$B26,Collections!$G$4:$G$28,"&gt;="&amp;G$12,Collections!$G$4:$G$28,"&lt;="&amp;G$13)</f>
      </c>
      <c r="H26" s="17">
        <f>SUMIFS(Collections!$L$4:$L$28,Collections!$B$4:$B$28,$B26,Collections!$G$4:$G$28,"&gt;="&amp;H$12,Collections!$G$4:$G$28,"&lt;="&amp;H$13)</f>
      </c>
      <c r="I26" s="17">
        <f>SUMIFS(Collections!$L$4:$L$28,Collections!$B$4:$B$28,$B26,Collections!$G$4:$G$28,"&gt;="&amp;I$12,Collections!$G$4:$G$28,"&lt;="&amp;I$13)</f>
      </c>
      <c r="J26" s="17">
        <f>SUMIFS(Collections!$L$4:$L$28,Collections!$B$4:$B$28,$B26,Collections!$G$4:$G$28,"&gt;="&amp;J$12,Collections!$G$4:$G$28,"&lt;="&amp;J$13)</f>
      </c>
      <c r="K26" s="17">
        <f>SUMIFS(Collections!$L$4:$L$28,Collections!$B$4:$B$28,$B26,Collections!$G$4:$G$28,"&gt;="&amp;K$12,Collections!$G$4:$G$28,"&lt;="&amp;K$13)</f>
      </c>
      <c r="L26" s="17">
        <f>SUMIFS(Collections!$L$4:$L$28,Collections!$B$4:$B$28,$B26,Collections!$G$4:$G$28,"&gt;="&amp;L$12,Collections!$G$4:$G$28,"&lt;="&amp;L$13)</f>
      </c>
      <c r="M26" s="17">
        <f>SUMIFS(Collections!$L$4:$L$28,Collections!$B$4:$B$28,$B26,Collections!$G$4:$G$28,"&gt;="&amp;M$12,Collections!$G$4:$G$28,"&lt;="&amp;M$13)</f>
      </c>
      <c r="N26" s="17">
        <f>SUMIFS(Collections!$L$4:$L$28,Collections!$B$4:$B$28,$B26,Collections!$G$4:$G$28,"&gt;="&amp;N$12,Collections!$G$4:$G$28,"&lt;="&amp;N$13)</f>
      </c>
      <c r="O26" s="17">
        <f>SUMIFS(Collections!$L$4:$L$28,Collections!$B$4:$B$28,$B26,Collections!$G$4:$G$28,"&gt;="&amp;O$12,Collections!$G$4:$G$28,"&lt;="&amp;O$13)</f>
      </c>
      <c r="Q26" s="17">
        <f>SUM(C26:O26)</f>
      </c>
    </row>
    <row r="27" spans="2:17" x14ac:dyDescent="0.25">
      <c r="B27" s="10" t="s">
        <v>29</v>
      </c>
      <c r="C27" s="19">
        <f>C16+C22</f>
      </c>
      <c r="D27" s="19">
        <f>D16+D22</f>
      </c>
      <c r="E27" s="19">
        <f>E16+E22</f>
      </c>
      <c r="F27" s="19">
        <f>F16+F22</f>
      </c>
      <c r="G27" s="19">
        <f>G16+G22</f>
      </c>
      <c r="H27" s="19">
        <f>H16+H22</f>
      </c>
      <c r="I27" s="19">
        <f>I16+I22</f>
      </c>
      <c r="J27" s="19">
        <f>J16+J22</f>
      </c>
      <c r="K27" s="19">
        <f>K16+K22</f>
      </c>
      <c r="L27" s="19">
        <f>L16+L22</f>
      </c>
      <c r="M27" s="19">
        <f>M16+M22</f>
      </c>
      <c r="N27" s="19">
        <f>N16+N22</f>
      </c>
      <c r="O27" s="19">
        <f>O16+O22</f>
      </c>
      <c r="Q27" s="19">
        <f>SUM(C27:O27)</f>
      </c>
    </row>
    <row r="29" spans="2:2" x14ac:dyDescent="0.25">
      <c r="B29" s="3" t="s">
        <v>30</v>
      </c>
    </row>
    <row r="30" spans="2:17" x14ac:dyDescent="0.25">
      <c r="B30" s="20">
        <f>'3. Expenses'!$A$6</f>
      </c>
      <c r="C30" s="17">
        <f>-SUMIFS(Expenses!$J$4:$J$42,Expenses!$B$4:$B$42,$B30,Expenses!$G$4:$G$42,"&gt;="&amp;C$12,Expenses!$G$4:$G$42,"&lt;="&amp;C$13)</f>
      </c>
      <c r="D30" s="17">
        <f>-SUMIFS(Expenses!$J$4:$J$42,Expenses!$B$4:$B$42,$B30,Expenses!$G$4:$G$42,"&gt;="&amp;D$12,Expenses!$G$4:$G$42,"&lt;="&amp;D$13)</f>
      </c>
      <c r="E30" s="17">
        <f>-SUMIFS(Expenses!$J$4:$J$42,Expenses!$B$4:$B$42,$B30,Expenses!$G$4:$G$42,"&gt;="&amp;E$12,Expenses!$G$4:$G$42,"&lt;="&amp;E$13)</f>
      </c>
      <c r="F30" s="17">
        <f>-SUMIFS(Expenses!$J$4:$J$42,Expenses!$B$4:$B$42,$B30,Expenses!$G$4:$G$42,"&gt;="&amp;F$12,Expenses!$G$4:$G$42,"&lt;="&amp;F$13)</f>
      </c>
      <c r="G30" s="17">
        <f>-SUMIFS(Expenses!$J$4:$J$42,Expenses!$B$4:$B$42,$B30,Expenses!$G$4:$G$42,"&gt;="&amp;G$12,Expenses!$G$4:$G$42,"&lt;="&amp;G$13)</f>
      </c>
      <c r="H30" s="17">
        <f>-SUMIFS(Expenses!$J$4:$J$42,Expenses!$B$4:$B$42,$B30,Expenses!$G$4:$G$42,"&gt;="&amp;H$12,Expenses!$G$4:$G$42,"&lt;="&amp;H$13)</f>
      </c>
      <c r="I30" s="17">
        <f>-SUMIFS(Expenses!$J$4:$J$42,Expenses!$B$4:$B$42,$B30,Expenses!$G$4:$G$42,"&gt;="&amp;I$12,Expenses!$G$4:$G$42,"&lt;="&amp;I$13)</f>
      </c>
      <c r="J30" s="17">
        <f>-SUMIFS(Expenses!$J$4:$J$42,Expenses!$B$4:$B$42,$B30,Expenses!$G$4:$G$42,"&gt;="&amp;J$12,Expenses!$G$4:$G$42,"&lt;="&amp;J$13)</f>
      </c>
      <c r="K30" s="17">
        <f>-SUMIFS(Expenses!$J$4:$J$42,Expenses!$B$4:$B$42,$B30,Expenses!$G$4:$G$42,"&gt;="&amp;K$12,Expenses!$G$4:$G$42,"&lt;="&amp;K$13)</f>
      </c>
      <c r="L30" s="17">
        <f>-SUMIFS(Expenses!$J$4:$J$42,Expenses!$B$4:$B$42,$B30,Expenses!$G$4:$G$42,"&gt;="&amp;L$12,Expenses!$G$4:$G$42,"&lt;="&amp;L$13)</f>
      </c>
      <c r="M30" s="17">
        <f>-SUMIFS(Expenses!$J$4:$J$42,Expenses!$B$4:$B$42,$B30,Expenses!$G$4:$G$42,"&gt;="&amp;M$12,Expenses!$G$4:$G$42,"&lt;="&amp;M$13)</f>
      </c>
      <c r="N30" s="17">
        <f>-SUMIFS(Expenses!$J$4:$J$42,Expenses!$B$4:$B$42,$B30,Expenses!$G$4:$G$42,"&gt;="&amp;N$12,Expenses!$G$4:$G$42,"&lt;="&amp;N$13)</f>
      </c>
      <c r="O30" s="17">
        <f>-SUMIFS(Expenses!$J$4:$J$42,Expenses!$B$4:$B$42,$B30,Expenses!$G$4:$G$42,"&gt;="&amp;O$12,Expenses!$G$4:$G$42,"&lt;="&amp;O$13)</f>
      </c>
      <c r="Q30" s="17">
        <f>SUM(C30:O30)</f>
      </c>
    </row>
    <row r="31" spans="2:17" x14ac:dyDescent="0.25">
      <c r="B31" s="21">
        <f>'3. Expenses'!$A$7</f>
      </c>
      <c r="C31" s="17">
        <f>-SUMIFS(Expenses!$J$4:$J$42,Expenses!$B$4:$B$42,$B31,Expenses!$G$4:$G$42,"&gt;="&amp;C$12,Expenses!$G$4:$G$42,"&lt;="&amp;C$13)</f>
      </c>
      <c r="D31" s="17">
        <f>-SUMIFS(Expenses!$J$4:$J$42,Expenses!$B$4:$B$42,$B31,Expenses!$G$4:$G$42,"&gt;="&amp;D$12,Expenses!$G$4:$G$42,"&lt;="&amp;D$13)</f>
      </c>
      <c r="E31" s="17">
        <f>-SUMIFS(Expenses!$J$4:$J$42,Expenses!$B$4:$B$42,$B31,Expenses!$G$4:$G$42,"&gt;="&amp;E$12,Expenses!$G$4:$G$42,"&lt;="&amp;E$13)</f>
      </c>
      <c r="F31" s="17">
        <f>-SUMIFS(Expenses!$J$4:$J$42,Expenses!$B$4:$B$42,$B31,Expenses!$G$4:$G$42,"&gt;="&amp;F$12,Expenses!$G$4:$G$42,"&lt;="&amp;F$13)</f>
      </c>
      <c r="G31" s="17">
        <f>-SUMIFS(Expenses!$J$4:$J$42,Expenses!$B$4:$B$42,$B31,Expenses!$G$4:$G$42,"&gt;="&amp;G$12,Expenses!$G$4:$G$42,"&lt;="&amp;G$13)</f>
      </c>
      <c r="H31" s="17">
        <f>-SUMIFS(Expenses!$J$4:$J$42,Expenses!$B$4:$B$42,$B31,Expenses!$G$4:$G$42,"&gt;="&amp;H$12,Expenses!$G$4:$G$42,"&lt;="&amp;H$13)</f>
      </c>
      <c r="I31" s="17">
        <f>-SUMIFS(Expenses!$J$4:$J$42,Expenses!$B$4:$B$42,$B31,Expenses!$G$4:$G$42,"&gt;="&amp;I$12,Expenses!$G$4:$G$42,"&lt;="&amp;I$13)</f>
      </c>
      <c r="J31" s="17">
        <f>-SUMIFS(Expenses!$J$4:$J$42,Expenses!$B$4:$B$42,$B31,Expenses!$G$4:$G$42,"&gt;="&amp;J$12,Expenses!$G$4:$G$42,"&lt;="&amp;J$13)</f>
      </c>
      <c r="K31" s="17">
        <f>-SUMIFS(Expenses!$J$4:$J$42,Expenses!$B$4:$B$42,$B31,Expenses!$G$4:$G$42,"&gt;="&amp;K$12,Expenses!$G$4:$G$42,"&lt;="&amp;K$13)</f>
      </c>
      <c r="L31" s="17">
        <f>-SUMIFS(Expenses!$J$4:$J$42,Expenses!$B$4:$B$42,$B31,Expenses!$G$4:$G$42,"&gt;="&amp;L$12,Expenses!$G$4:$G$42,"&lt;="&amp;L$13)</f>
      </c>
      <c r="M31" s="17">
        <f>-SUMIFS(Expenses!$J$4:$J$42,Expenses!$B$4:$B$42,$B31,Expenses!$G$4:$G$42,"&gt;="&amp;M$12,Expenses!$G$4:$G$42,"&lt;="&amp;M$13)</f>
      </c>
      <c r="N31" s="17">
        <f>-SUMIFS(Expenses!$J$4:$J$42,Expenses!$B$4:$B$42,$B31,Expenses!$G$4:$G$42,"&gt;="&amp;N$12,Expenses!$G$4:$G$42,"&lt;="&amp;N$13)</f>
      </c>
      <c r="O31" s="17">
        <f>-SUMIFS(Expenses!$J$4:$J$42,Expenses!$B$4:$B$42,$B31,Expenses!$G$4:$G$42,"&gt;="&amp;O$12,Expenses!$G$4:$G$42,"&lt;="&amp;O$13)</f>
      </c>
      <c r="Q31" s="17">
        <f>SUM(C31:O31)</f>
      </c>
    </row>
    <row r="32" spans="2:17" x14ac:dyDescent="0.25">
      <c r="B32" s="22">
        <f>'3. Expenses'!$A$8</f>
      </c>
      <c r="C32" s="17">
        <f>-SUMIFS(Expenses!$J$4:$J$42,Expenses!$B$4:$B$42,$B32,Expenses!$G$4:$G$42,"&gt;="&amp;C$12,Expenses!$G$4:$G$42,"&lt;="&amp;C$13)</f>
      </c>
      <c r="D32" s="17">
        <f>-SUMIFS(Expenses!$J$4:$J$42,Expenses!$B$4:$B$42,$B32,Expenses!$G$4:$G$42,"&gt;="&amp;D$12,Expenses!$G$4:$G$42,"&lt;="&amp;D$13)</f>
      </c>
      <c r="E32" s="17">
        <f>-SUMIFS(Expenses!$J$4:$J$42,Expenses!$B$4:$B$42,$B32,Expenses!$G$4:$G$42,"&gt;="&amp;E$12,Expenses!$G$4:$G$42,"&lt;="&amp;E$13)</f>
      </c>
      <c r="F32" s="17">
        <f>-SUMIFS(Expenses!$J$4:$J$42,Expenses!$B$4:$B$42,$B32,Expenses!$G$4:$G$42,"&gt;="&amp;F$12,Expenses!$G$4:$G$42,"&lt;="&amp;F$13)</f>
      </c>
      <c r="G32" s="17">
        <f>-SUMIFS(Expenses!$J$4:$J$42,Expenses!$B$4:$B$42,$B32,Expenses!$G$4:$G$42,"&gt;="&amp;G$12,Expenses!$G$4:$G$42,"&lt;="&amp;G$13)</f>
      </c>
      <c r="H32" s="17">
        <f>-SUMIFS(Expenses!$J$4:$J$42,Expenses!$B$4:$B$42,$B32,Expenses!$G$4:$G$42,"&gt;="&amp;H$12,Expenses!$G$4:$G$42,"&lt;="&amp;H$13)</f>
      </c>
      <c r="I32" s="17">
        <f>-SUMIFS(Expenses!$J$4:$J$42,Expenses!$B$4:$B$42,$B32,Expenses!$G$4:$G$42,"&gt;="&amp;I$12,Expenses!$G$4:$G$42,"&lt;="&amp;I$13)</f>
      </c>
      <c r="J32" s="17">
        <f>-SUMIFS(Expenses!$J$4:$J$42,Expenses!$B$4:$B$42,$B32,Expenses!$G$4:$G$42,"&gt;="&amp;J$12,Expenses!$G$4:$G$42,"&lt;="&amp;J$13)</f>
      </c>
      <c r="K32" s="17">
        <f>-SUMIFS(Expenses!$J$4:$J$42,Expenses!$B$4:$B$42,$B32,Expenses!$G$4:$G$42,"&gt;="&amp;K$12,Expenses!$G$4:$G$42,"&lt;="&amp;K$13)</f>
      </c>
      <c r="L32" s="17">
        <f>-SUMIFS(Expenses!$J$4:$J$42,Expenses!$B$4:$B$42,$B32,Expenses!$G$4:$G$42,"&gt;="&amp;L$12,Expenses!$G$4:$G$42,"&lt;="&amp;L$13)</f>
      </c>
      <c r="M32" s="17">
        <f>-SUMIFS(Expenses!$J$4:$J$42,Expenses!$B$4:$B$42,$B32,Expenses!$G$4:$G$42,"&gt;="&amp;M$12,Expenses!$G$4:$G$42,"&lt;="&amp;M$13)</f>
      </c>
      <c r="N32" s="17">
        <f>-SUMIFS(Expenses!$J$4:$J$42,Expenses!$B$4:$B$42,$B32,Expenses!$G$4:$G$42,"&gt;="&amp;N$12,Expenses!$G$4:$G$42,"&lt;="&amp;N$13)</f>
      </c>
      <c r="O32" s="17">
        <f>-SUMIFS(Expenses!$J$4:$J$42,Expenses!$B$4:$B$42,$B32,Expenses!$G$4:$G$42,"&gt;="&amp;O$12,Expenses!$G$4:$G$42,"&lt;="&amp;O$13)</f>
      </c>
      <c r="Q32" s="17">
        <f>SUM(C32:O32)</f>
      </c>
    </row>
    <row r="33" spans="2:17" x14ac:dyDescent="0.25">
      <c r="B33" s="21">
        <f>'3. Expenses'!$A$9</f>
      </c>
      <c r="C33" s="17">
        <f>-SUMIFS(Expenses!$J$4:$J$42,Expenses!$B$4:$B$42,$B33,Expenses!$G$4:$G$42,"&gt;="&amp;C$12,Expenses!$G$4:$G$42,"&lt;="&amp;C$13)</f>
      </c>
      <c r="D33" s="17">
        <f>-SUMIFS(Expenses!$J$4:$J$42,Expenses!$B$4:$B$42,$B33,Expenses!$G$4:$G$42,"&gt;="&amp;D$12,Expenses!$G$4:$G$42,"&lt;="&amp;D$13)</f>
      </c>
      <c r="E33" s="17">
        <f>-SUMIFS(Expenses!$J$4:$J$42,Expenses!$B$4:$B$42,$B33,Expenses!$G$4:$G$42,"&gt;="&amp;E$12,Expenses!$G$4:$G$42,"&lt;="&amp;E$13)</f>
      </c>
      <c r="F33" s="17">
        <f>-SUMIFS(Expenses!$J$4:$J$42,Expenses!$B$4:$B$42,$B33,Expenses!$G$4:$G$42,"&gt;="&amp;F$12,Expenses!$G$4:$G$42,"&lt;="&amp;F$13)</f>
      </c>
      <c r="G33" s="17">
        <f>-SUMIFS(Expenses!$J$4:$J$42,Expenses!$B$4:$B$42,$B33,Expenses!$G$4:$G$42,"&gt;="&amp;G$12,Expenses!$G$4:$G$42,"&lt;="&amp;G$13)</f>
      </c>
      <c r="H33" s="17">
        <f>-SUMIFS(Expenses!$J$4:$J$42,Expenses!$B$4:$B$42,$B33,Expenses!$G$4:$G$42,"&gt;="&amp;H$12,Expenses!$G$4:$G$42,"&lt;="&amp;H$13)</f>
      </c>
      <c r="I33" s="17">
        <f>-SUMIFS(Expenses!$J$4:$J$42,Expenses!$B$4:$B$42,$B33,Expenses!$G$4:$G$42,"&gt;="&amp;I$12,Expenses!$G$4:$G$42,"&lt;="&amp;I$13)</f>
      </c>
      <c r="J33" s="17">
        <f>-SUMIFS(Expenses!$J$4:$J$42,Expenses!$B$4:$B$42,$B33,Expenses!$G$4:$G$42,"&gt;="&amp;J$12,Expenses!$G$4:$G$42,"&lt;="&amp;J$13)</f>
      </c>
      <c r="K33" s="17">
        <f>-SUMIFS(Expenses!$J$4:$J$42,Expenses!$B$4:$B$42,$B33,Expenses!$G$4:$G$42,"&gt;="&amp;K$12,Expenses!$G$4:$G$42,"&lt;="&amp;K$13)</f>
      </c>
      <c r="L33" s="17">
        <f>-SUMIFS(Expenses!$J$4:$J$42,Expenses!$B$4:$B$42,$B33,Expenses!$G$4:$G$42,"&gt;="&amp;L$12,Expenses!$G$4:$G$42,"&lt;="&amp;L$13)</f>
      </c>
      <c r="M33" s="17">
        <f>-SUMIFS(Expenses!$J$4:$J$42,Expenses!$B$4:$B$42,$B33,Expenses!$G$4:$G$42,"&gt;="&amp;M$12,Expenses!$G$4:$G$42,"&lt;="&amp;M$13)</f>
      </c>
      <c r="N33" s="17">
        <f>-SUMIFS(Expenses!$J$4:$J$42,Expenses!$B$4:$B$42,$B33,Expenses!$G$4:$G$42,"&gt;="&amp;N$12,Expenses!$G$4:$G$42,"&lt;="&amp;N$13)</f>
      </c>
      <c r="O33" s="17">
        <f>-SUMIFS(Expenses!$J$4:$J$42,Expenses!$B$4:$B$42,$B33,Expenses!$G$4:$G$42,"&gt;="&amp;O$12,Expenses!$G$4:$G$42,"&lt;="&amp;O$13)</f>
      </c>
      <c r="Q33" s="17">
        <f>SUM(C33:O33)</f>
      </c>
    </row>
    <row r="34" spans="2:17" x14ac:dyDescent="0.25">
      <c r="B34" s="22">
        <f>'3. Expenses'!$A$10</f>
      </c>
      <c r="C34" s="17">
        <f>-SUMIFS(Expenses!$J$4:$J$42,Expenses!$B$4:$B$42,$B34,Expenses!$G$4:$G$42,"&gt;="&amp;C$12,Expenses!$G$4:$G$42,"&lt;="&amp;C$13)</f>
      </c>
      <c r="D34" s="17">
        <f>-SUMIFS(Expenses!$J$4:$J$42,Expenses!$B$4:$B$42,$B34,Expenses!$G$4:$G$42,"&gt;="&amp;D$12,Expenses!$G$4:$G$42,"&lt;="&amp;D$13)</f>
      </c>
      <c r="E34" s="17">
        <f>-SUMIFS(Expenses!$J$4:$J$42,Expenses!$B$4:$B$42,$B34,Expenses!$G$4:$G$42,"&gt;="&amp;E$12,Expenses!$G$4:$G$42,"&lt;="&amp;E$13)</f>
      </c>
      <c r="F34" s="17">
        <f>-SUMIFS(Expenses!$J$4:$J$42,Expenses!$B$4:$B$42,$B34,Expenses!$G$4:$G$42,"&gt;="&amp;F$12,Expenses!$G$4:$G$42,"&lt;="&amp;F$13)</f>
      </c>
      <c r="G34" s="17">
        <f>-SUMIFS(Expenses!$J$4:$J$42,Expenses!$B$4:$B$42,$B34,Expenses!$G$4:$G$42,"&gt;="&amp;G$12,Expenses!$G$4:$G$42,"&lt;="&amp;G$13)</f>
      </c>
      <c r="H34" s="17">
        <f>-SUMIFS(Expenses!$J$4:$J$42,Expenses!$B$4:$B$42,$B34,Expenses!$G$4:$G$42,"&gt;="&amp;H$12,Expenses!$G$4:$G$42,"&lt;="&amp;H$13)</f>
      </c>
      <c r="I34" s="17">
        <f>-SUMIFS(Expenses!$J$4:$J$42,Expenses!$B$4:$B$42,$B34,Expenses!$G$4:$G$42,"&gt;="&amp;I$12,Expenses!$G$4:$G$42,"&lt;="&amp;I$13)</f>
      </c>
      <c r="J34" s="17">
        <f>-SUMIFS(Expenses!$J$4:$J$42,Expenses!$B$4:$B$42,$B34,Expenses!$G$4:$G$42,"&gt;="&amp;J$12,Expenses!$G$4:$G$42,"&lt;="&amp;J$13)</f>
      </c>
      <c r="K34" s="17">
        <f>-SUMIFS(Expenses!$J$4:$J$42,Expenses!$B$4:$B$42,$B34,Expenses!$G$4:$G$42,"&gt;="&amp;K$12,Expenses!$G$4:$G$42,"&lt;="&amp;K$13)</f>
      </c>
      <c r="L34" s="17">
        <f>-SUMIFS(Expenses!$J$4:$J$42,Expenses!$B$4:$B$42,$B34,Expenses!$G$4:$G$42,"&gt;="&amp;L$12,Expenses!$G$4:$G$42,"&lt;="&amp;L$13)</f>
      </c>
      <c r="M34" s="17">
        <f>-SUMIFS(Expenses!$J$4:$J$42,Expenses!$B$4:$B$42,$B34,Expenses!$G$4:$G$42,"&gt;="&amp;M$12,Expenses!$G$4:$G$42,"&lt;="&amp;M$13)</f>
      </c>
      <c r="N34" s="17">
        <f>-SUMIFS(Expenses!$J$4:$J$42,Expenses!$B$4:$B$42,$B34,Expenses!$G$4:$G$42,"&gt;="&amp;N$12,Expenses!$G$4:$G$42,"&lt;="&amp;N$13)</f>
      </c>
      <c r="O34" s="17">
        <f>-SUMIFS(Expenses!$J$4:$J$42,Expenses!$B$4:$B$42,$B34,Expenses!$G$4:$G$42,"&gt;="&amp;O$12,Expenses!$G$4:$G$42,"&lt;="&amp;O$13)</f>
      </c>
      <c r="Q34" s="17">
        <f>SUM(C34:O34)</f>
      </c>
    </row>
    <row r="35" spans="2:17" x14ac:dyDescent="0.25">
      <c r="B35" s="21">
        <f>'3. Expenses'!$A$11</f>
      </c>
      <c r="C35" s="17">
        <f>-SUMIFS(Expenses!$J$4:$J$42,Expenses!$B$4:$B$42,$B35,Expenses!$G$4:$G$42,"&gt;="&amp;C$12,Expenses!$G$4:$G$42,"&lt;="&amp;C$13)</f>
      </c>
      <c r="D35" s="17">
        <f>-SUMIFS(Expenses!$J$4:$J$42,Expenses!$B$4:$B$42,$B35,Expenses!$G$4:$G$42,"&gt;="&amp;D$12,Expenses!$G$4:$G$42,"&lt;="&amp;D$13)</f>
      </c>
      <c r="E35" s="17">
        <f>-SUMIFS(Expenses!$J$4:$J$42,Expenses!$B$4:$B$42,$B35,Expenses!$G$4:$G$42,"&gt;="&amp;E$12,Expenses!$G$4:$G$42,"&lt;="&amp;E$13)</f>
      </c>
      <c r="F35" s="17">
        <f>-SUMIFS(Expenses!$J$4:$J$42,Expenses!$B$4:$B$42,$B35,Expenses!$G$4:$G$42,"&gt;="&amp;F$12,Expenses!$G$4:$G$42,"&lt;="&amp;F$13)</f>
      </c>
      <c r="G35" s="17">
        <f>-SUMIFS(Expenses!$J$4:$J$42,Expenses!$B$4:$B$42,$B35,Expenses!$G$4:$G$42,"&gt;="&amp;G$12,Expenses!$G$4:$G$42,"&lt;="&amp;G$13)</f>
      </c>
      <c r="H35" s="17">
        <f>-SUMIFS(Expenses!$J$4:$J$42,Expenses!$B$4:$B$42,$B35,Expenses!$G$4:$G$42,"&gt;="&amp;H$12,Expenses!$G$4:$G$42,"&lt;="&amp;H$13)</f>
      </c>
      <c r="I35" s="17">
        <f>-SUMIFS(Expenses!$J$4:$J$42,Expenses!$B$4:$B$42,$B35,Expenses!$G$4:$G$42,"&gt;="&amp;I$12,Expenses!$G$4:$G$42,"&lt;="&amp;I$13)</f>
      </c>
      <c r="J35" s="17">
        <f>-SUMIFS(Expenses!$J$4:$J$42,Expenses!$B$4:$B$42,$B35,Expenses!$G$4:$G$42,"&gt;="&amp;J$12,Expenses!$G$4:$G$42,"&lt;="&amp;J$13)</f>
      </c>
      <c r="K35" s="17">
        <f>-SUMIFS(Expenses!$J$4:$J$42,Expenses!$B$4:$B$42,$B35,Expenses!$G$4:$G$42,"&gt;="&amp;K$12,Expenses!$G$4:$G$42,"&lt;="&amp;K$13)</f>
      </c>
      <c r="L35" s="17">
        <f>-SUMIFS(Expenses!$J$4:$J$42,Expenses!$B$4:$B$42,$B35,Expenses!$G$4:$G$42,"&gt;="&amp;L$12,Expenses!$G$4:$G$42,"&lt;="&amp;L$13)</f>
      </c>
      <c r="M35" s="17">
        <f>-SUMIFS(Expenses!$J$4:$J$42,Expenses!$B$4:$B$42,$B35,Expenses!$G$4:$G$42,"&gt;="&amp;M$12,Expenses!$G$4:$G$42,"&lt;="&amp;M$13)</f>
      </c>
      <c r="N35" s="17">
        <f>-SUMIFS(Expenses!$J$4:$J$42,Expenses!$B$4:$B$42,$B35,Expenses!$G$4:$G$42,"&gt;="&amp;N$12,Expenses!$G$4:$G$42,"&lt;="&amp;N$13)</f>
      </c>
      <c r="O35" s="17">
        <f>-SUMIFS(Expenses!$J$4:$J$42,Expenses!$B$4:$B$42,$B35,Expenses!$G$4:$G$42,"&gt;="&amp;O$12,Expenses!$G$4:$G$42,"&lt;="&amp;O$13)</f>
      </c>
      <c r="Q35" s="17">
        <f>SUM(C35:O35)</f>
      </c>
    </row>
    <row r="36" spans="2:17" x14ac:dyDescent="0.25">
      <c r="B36" s="22">
        <f>'3. Expenses'!$A$12</f>
      </c>
      <c r="C36" s="17">
        <f>-SUMIFS(Expenses!$J$4:$J$42,Expenses!$B$4:$B$42,$B36,Expenses!$G$4:$G$42,"&gt;="&amp;C$12,Expenses!$G$4:$G$42,"&lt;="&amp;C$13)</f>
      </c>
      <c r="D36" s="17">
        <f>-SUMIFS(Expenses!$J$4:$J$42,Expenses!$B$4:$B$42,$B36,Expenses!$G$4:$G$42,"&gt;="&amp;D$12,Expenses!$G$4:$G$42,"&lt;="&amp;D$13)</f>
      </c>
      <c r="E36" s="17">
        <f>-SUMIFS(Expenses!$J$4:$J$42,Expenses!$B$4:$B$42,$B36,Expenses!$G$4:$G$42,"&gt;="&amp;E$12,Expenses!$G$4:$G$42,"&lt;="&amp;E$13)</f>
      </c>
      <c r="F36" s="17">
        <f>-SUMIFS(Expenses!$J$4:$J$42,Expenses!$B$4:$B$42,$B36,Expenses!$G$4:$G$42,"&gt;="&amp;F$12,Expenses!$G$4:$G$42,"&lt;="&amp;F$13)</f>
      </c>
      <c r="G36" s="17">
        <f>-SUMIFS(Expenses!$J$4:$J$42,Expenses!$B$4:$B$42,$B36,Expenses!$G$4:$G$42,"&gt;="&amp;G$12,Expenses!$G$4:$G$42,"&lt;="&amp;G$13)</f>
      </c>
      <c r="H36" s="17">
        <f>-SUMIFS(Expenses!$J$4:$J$42,Expenses!$B$4:$B$42,$B36,Expenses!$G$4:$G$42,"&gt;="&amp;H$12,Expenses!$G$4:$G$42,"&lt;="&amp;H$13)</f>
      </c>
      <c r="I36" s="17">
        <f>-SUMIFS(Expenses!$J$4:$J$42,Expenses!$B$4:$B$42,$B36,Expenses!$G$4:$G$42,"&gt;="&amp;I$12,Expenses!$G$4:$G$42,"&lt;="&amp;I$13)</f>
      </c>
      <c r="J36" s="17">
        <f>-SUMIFS(Expenses!$J$4:$J$42,Expenses!$B$4:$B$42,$B36,Expenses!$G$4:$G$42,"&gt;="&amp;J$12,Expenses!$G$4:$G$42,"&lt;="&amp;J$13)</f>
      </c>
      <c r="K36" s="17">
        <f>-SUMIFS(Expenses!$J$4:$J$42,Expenses!$B$4:$B$42,$B36,Expenses!$G$4:$G$42,"&gt;="&amp;K$12,Expenses!$G$4:$G$42,"&lt;="&amp;K$13)</f>
      </c>
      <c r="L36" s="17">
        <f>-SUMIFS(Expenses!$J$4:$J$42,Expenses!$B$4:$B$42,$B36,Expenses!$G$4:$G$42,"&gt;="&amp;L$12,Expenses!$G$4:$G$42,"&lt;="&amp;L$13)</f>
      </c>
      <c r="M36" s="17">
        <f>-SUMIFS(Expenses!$J$4:$J$42,Expenses!$B$4:$B$42,$B36,Expenses!$G$4:$G$42,"&gt;="&amp;M$12,Expenses!$G$4:$G$42,"&lt;="&amp;M$13)</f>
      </c>
      <c r="N36" s="17">
        <f>-SUMIFS(Expenses!$J$4:$J$42,Expenses!$B$4:$B$42,$B36,Expenses!$G$4:$G$42,"&gt;="&amp;N$12,Expenses!$G$4:$G$42,"&lt;="&amp;N$13)</f>
      </c>
      <c r="O36" s="17">
        <f>-SUMIFS(Expenses!$J$4:$J$42,Expenses!$B$4:$B$42,$B36,Expenses!$G$4:$G$42,"&gt;="&amp;O$12,Expenses!$G$4:$G$42,"&lt;="&amp;O$13)</f>
      </c>
      <c r="Q36" s="17">
        <f>SUM(C36:O36)</f>
      </c>
    </row>
    <row r="37" spans="2:17" x14ac:dyDescent="0.25">
      <c r="B37" s="10" t="s">
        <v>31</v>
      </c>
      <c r="C37" s="19">
        <f>SUM(C30:C36)</f>
      </c>
      <c r="D37" s="19">
        <f>SUM(D30:D36)</f>
      </c>
      <c r="E37" s="19">
        <f>SUM(E30:E36)</f>
      </c>
      <c r="F37" s="19">
        <f>SUM(F30:F36)</f>
      </c>
      <c r="G37" s="19">
        <f>SUM(G30:G36)</f>
      </c>
      <c r="H37" s="19">
        <f>SUM(H30:H36)</f>
      </c>
      <c r="I37" s="19">
        <f>SUM(I30:I36)</f>
      </c>
      <c r="J37" s="19">
        <f>SUM(J30:J36)</f>
      </c>
      <c r="K37" s="19">
        <f>SUM(K30:K36)</f>
      </c>
      <c r="L37" s="19">
        <f>SUM(L30:L36)</f>
      </c>
      <c r="M37" s="19">
        <f>SUM(M30:M36)</f>
      </c>
      <c r="N37" s="19">
        <f>SUM(N30:N36)</f>
      </c>
      <c r="O37" s="19">
        <f>SUM(O30:O36)</f>
      </c>
      <c r="Q37" s="19">
        <f>SUM(C37:O37)</f>
      </c>
    </row>
    <row r="39" spans="2:17" x14ac:dyDescent="0.25">
      <c r="B39" s="10" t="s">
        <v>32</v>
      </c>
      <c r="C39" s="13">
        <f>C27+C37</f>
      </c>
      <c r="D39" s="13">
        <f>D27+D37</f>
      </c>
      <c r="E39" s="13">
        <f>E27+E37</f>
      </c>
      <c r="F39" s="13">
        <f>F27+F37</f>
      </c>
      <c r="G39" s="13">
        <f>G27+G37</f>
      </c>
      <c r="H39" s="13">
        <f>H27+H37</f>
      </c>
      <c r="I39" s="13">
        <f>I27+I37</f>
      </c>
      <c r="J39" s="13">
        <f>J27+J37</f>
      </c>
      <c r="K39" s="13">
        <f>K27+K37</f>
      </c>
      <c r="L39" s="13">
        <f>L27+L37</f>
      </c>
      <c r="M39" s="13">
        <f>M27+M37</f>
      </c>
      <c r="N39" s="13">
        <f>N27+N37</f>
      </c>
      <c r="O39" s="13">
        <f>O27+O37</f>
      </c>
      <c r="Q39" s="13">
        <f>SUM(C39:O39)</f>
      </c>
    </row>
    <row r="40" spans="2:15" x14ac:dyDescent="0.25">
      <c r="B40" s="3" t="s">
        <v>33</v>
      </c>
      <c r="C40" s="23">
        <f>C14+C39</f>
      </c>
      <c r="D40" s="23">
        <f>D14+D39</f>
      </c>
      <c r="E40" s="23">
        <f>E14+E39</f>
      </c>
      <c r="F40" s="23">
        <f>F14+F39</f>
      </c>
      <c r="G40" s="23">
        <f>G14+G39</f>
      </c>
      <c r="H40" s="23">
        <f>H14+H39</f>
      </c>
      <c r="I40" s="23">
        <f>I14+I39</f>
      </c>
      <c r="J40" s="23">
        <f>J14+J39</f>
      </c>
      <c r="K40" s="23">
        <f>K14+K39</f>
      </c>
      <c r="L40" s="23">
        <f>L14+L39</f>
      </c>
      <c r="M40" s="23">
        <f>M14+M39</f>
      </c>
      <c r="N40" s="23">
        <f>N14+N39</f>
      </c>
      <c r="O40" s="23">
        <f>O14+O39</f>
      </c>
    </row>
    <row r="42" spans="2:2" x14ac:dyDescent="0.25">
      <c r="B42" s="3" t="s">
        <v>34</v>
      </c>
    </row>
    <row r="43" spans="2:7" x14ac:dyDescent="0.25">
      <c r="B43" s="24" t="s">
        <v>35</v>
      </c>
      <c r="C43" s="24"/>
      <c r="D43" s="24"/>
      <c r="E43" s="24" t="s">
        <v>36</v>
      </c>
      <c r="F43" s="24" t="s">
        <v>37</v>
      </c>
      <c r="G43" s="24" t="s">
        <v>38</v>
      </c>
    </row>
    <row r="44" spans="2:7" x14ac:dyDescent="0.25">
      <c r="B44" s="25" t="s">
        <v>39</v>
      </c>
      <c r="C44" s="25"/>
      <c r="D44" s="25"/>
      <c r="E44" s="26">
        <f>Q27</f>
      </c>
      <c r="F44" s="26">
        <f>SUMIFS(Collections!$L$4:$L$28,Collections!$G$4:$G$28,"&gt;="&amp;$C$12,Collections!$G$4:$G$28,"&lt;="&amp;$O$13)</f>
      </c>
      <c r="G44" s="27">
        <f>IF(ABS($E44-$F44)&lt;0.5,"OK","ERROR")</f>
      </c>
    </row>
    <row r="45" spans="2:7" x14ac:dyDescent="0.25">
      <c r="B45" s="25" t="s">
        <v>40</v>
      </c>
      <c r="C45" s="25"/>
      <c r="D45" s="25"/>
      <c r="E45" s="26">
        <f>-Q37</f>
      </c>
      <c r="F45" s="26">
        <f>SUMIFS(Expenses!$J$4:$J$42,Expenses!$G$4:$G$42,"&gt;="&amp;$C$12,Expenses!$G$4:$G$42,"&lt;="&amp;$O$13)</f>
      </c>
      <c r="G45" s="27">
        <f>IF(ABS($E45-$F45)&lt;0.5,"OK","ERROR")</f>
      </c>
    </row>
    <row r="46" spans="2:7" x14ac:dyDescent="0.25">
      <c r="B46" s="25" t="s">
        <v>41</v>
      </c>
      <c r="C46" s="25"/>
      <c r="D46" s="25"/>
      <c r="E46" s="26">
        <f>O40</f>
      </c>
      <c r="F46" s="26">
        <f>$C$6+SUM($C$39:$O$39)</f>
      </c>
      <c r="G46" s="27">
        <f>IF(ABS($E46-$F46)&lt;0.5,"OK","ERROR")</f>
      </c>
    </row>
    <row r="47" spans="2:7" x14ac:dyDescent="0.25">
      <c r="B47" s="25" t="s">
        <v>42</v>
      </c>
      <c r="C47" s="25"/>
      <c r="D47" s="25"/>
      <c r="E47" s="28">
        <f>O13-C12+1</f>
      </c>
      <c r="F47" s="28">
        <f>13*7</f>
      </c>
      <c r="G47" s="27">
        <f>IF(ABS($E47-$F47)&lt;0.5,"OK","ERROR")</f>
      </c>
    </row>
    <row r="48" spans="2:7" x14ac:dyDescent="0.25">
      <c r="B48" s="25" t="s">
        <v>43</v>
      </c>
      <c r="C48" s="25"/>
      <c r="D48" s="25"/>
      <c r="E48" s="28">
        <f>Collections!$F$43</f>
      </c>
      <c r="F48" s="28">
        <f>0</f>
      </c>
      <c r="G48" s="27">
        <f>IF(ABS($E48-$F48)&lt;0.5,"OK","ERROR")</f>
      </c>
    </row>
    <row r="49" spans="2:7" x14ac:dyDescent="0.25">
      <c r="B49" s="25" t="s">
        <v>44</v>
      </c>
      <c r="C49" s="25"/>
      <c r="D49" s="25"/>
      <c r="E49" s="28">
        <f>Expenses!$G$55</f>
      </c>
      <c r="F49" s="28">
        <f>0</f>
      </c>
      <c r="G49" s="27">
        <f>IF(ABS($E49-$F49)&lt;0.5,"OK","ERROR")</f>
      </c>
    </row>
    <row r="51" spans="2:2" x14ac:dyDescent="0.25">
      <c r="B51" s="3" t="s">
        <v>45</v>
      </c>
    </row>
    <row r="52" spans="2:7" x14ac:dyDescent="0.25">
      <c r="B52" s="10" t="s">
        <v>46</v>
      </c>
      <c r="C52" s="10"/>
      <c r="D52" s="10"/>
      <c r="E52" s="29">
        <f>MIN($C$40:$O$40)</f>
      </c>
      <c r="F52" s="30">
        <f>INDEX($C$12:$O$12,MATCH(MIN($C$40:$O$40),$C$40:$O$40,0))</f>
      </c>
      <c r="G52" s="30"/>
    </row>
    <row r="53" spans="2:5" x14ac:dyDescent="0.25">
      <c r="B53" s="10" t="s">
        <v>47</v>
      </c>
      <c r="C53" s="10"/>
      <c r="D53" s="10"/>
      <c r="E53" s="29">
        <f>O40</f>
      </c>
    </row>
    <row r="54" spans="2:7" x14ac:dyDescent="0.25">
      <c r="B54" s="10" t="s">
        <v>48</v>
      </c>
      <c r="C54" s="10"/>
      <c r="D54" s="10"/>
      <c r="E54" s="29">
        <f>-MIN($C$37:$O$37)</f>
      </c>
      <c r="F54" s="30">
        <f>INDEX($C$12:$O$12,MATCH(MIN($C$37:$O$37),$C$37:$O$37,0))</f>
      </c>
      <c r="G54" s="30"/>
    </row>
    <row r="55" spans="2:5" x14ac:dyDescent="0.25">
      <c r="B55" s="4" t="s">
        <v>49</v>
      </c>
      <c r="C55" s="4"/>
      <c r="D55" s="4"/>
      <c r="E55" s="26">
        <f>-Q37</f>
      </c>
    </row>
    <row r="56" spans="2:5" x14ac:dyDescent="0.25">
      <c r="B56" s="4" t="s">
        <v>50</v>
      </c>
      <c r="C56" s="4"/>
      <c r="D56" s="4"/>
      <c r="E56" s="31">
        <f>IF(Q37=0,0,-Q16/Q37)</f>
      </c>
    </row>
    <row r="58" spans="2:2" x14ac:dyDescent="0.25">
      <c r="B58" s="2" t="s">
        <v>51</v>
      </c>
    </row>
    <row r="60" spans="2:2" x14ac:dyDescent="0.25">
      <c r="B60" s="3" t="s">
        <v>52</v>
      </c>
    </row>
    <row r="62" spans="2:15" x14ac:dyDescent="0.25">
      <c r="B62" s="32" t="s">
        <v>53</v>
      </c>
      <c r="C62" s="17">
        <v>247774.36</v>
      </c>
      <c r="D62" s="17">
        <v>272082.05</v>
      </c>
      <c r="E62" s="17">
        <v>266889.74</v>
      </c>
      <c r="F62" s="17">
        <v>184897.43</v>
      </c>
      <c r="G62" s="17">
        <v>219205.12</v>
      </c>
      <c r="H62" s="17">
        <v>224479.48</v>
      </c>
      <c r="I62" s="17">
        <v>223787.17</v>
      </c>
      <c r="J62" s="17">
        <v>162594.86</v>
      </c>
      <c r="K62" s="17">
        <v>177902.55</v>
      </c>
      <c r="L62" s="17">
        <v>126510.24</v>
      </c>
      <c r="M62" s="17">
        <v>150817.93</v>
      </c>
      <c r="N62" s="17">
        <v>89625.62</v>
      </c>
      <c r="O62" s="17">
        <v>104933.31</v>
      </c>
    </row>
    <row r="63" spans="2:15" x14ac:dyDescent="0.25">
      <c r="B63" s="32" t="s">
        <v>54</v>
      </c>
      <c r="C63" s="17">
        <v>247774.36</v>
      </c>
      <c r="D63" s="17">
        <v>272082.05</v>
      </c>
      <c r="E63" s="17">
        <v>266889.74</v>
      </c>
      <c r="F63" s="17">
        <v>228230.76</v>
      </c>
      <c r="G63" s="17">
        <v>262538.45</v>
      </c>
      <c r="H63" s="17">
        <v>297812.81</v>
      </c>
      <c r="I63" s="17">
        <v>297120.5</v>
      </c>
      <c r="J63" s="17">
        <v>279261.52</v>
      </c>
      <c r="K63" s="17">
        <v>294569.21</v>
      </c>
      <c r="L63" s="17">
        <v>263176.9</v>
      </c>
      <c r="M63" s="17">
        <v>297484.59</v>
      </c>
      <c r="N63" s="17">
        <v>279625.61</v>
      </c>
      <c r="O63" s="17">
        <v>309933.3</v>
      </c>
    </row>
  </sheetData>
  <mergeCells count="14">
    <mergeCell ref="B43:D43"/>
    <mergeCell ref="B44:D44"/>
    <mergeCell ref="B45:D45"/>
    <mergeCell ref="B46:D46"/>
    <mergeCell ref="B47:D47"/>
    <mergeCell ref="B48:D48"/>
    <mergeCell ref="B49:D49"/>
    <mergeCell ref="B52:D52"/>
    <mergeCell ref="F52:G52"/>
    <mergeCell ref="B53:D53"/>
    <mergeCell ref="B54:D54"/>
    <mergeCell ref="F54:G54"/>
    <mergeCell ref="B55:D55"/>
    <mergeCell ref="B56:D56"/>
  </mergeCells>
  <pageMargins left="0.7" right="0.7" top="0.75" bottom="0.75" header="0.3" footer="0.3"/>
  <pageSetup orientation="landscape" horizontalDpi="4294967295" verticalDpi="4294967295" scale="100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DC3E6"/>
    <pageSetUpPr fitToPage="1"/>
  </sheetPr>
  <dimension ref="B1:M43"/>
  <sheetViews>
    <sheetView workbookViewId="0" showGridLines="0" zoomScale="100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2" max="2" width="22" customWidth="1"/>
    <col min="3" max="3" width="11" customWidth="1"/>
    <col min="4" max="4" width="24" customWidth="1"/>
    <col min="5" max="5" width="14" customWidth="1"/>
    <col min="6" max="6" width="16" customWidth="1"/>
    <col min="7" max="7" width="14" customWidth="1"/>
    <col min="8" max="8" width="17" customWidth="1"/>
    <col min="9" max="9" width="10" customWidth="1"/>
    <col min="10" max="10" width="13" customWidth="1"/>
    <col min="11" max="11" width="11" customWidth="1"/>
    <col min="12" max="12" width="22" customWidth="1"/>
    <col min="13" max="13" width="12" customWidth="1"/>
  </cols>
  <sheetData>
    <row r="1" ht="17" customHeight="1" spans="2:2" x14ac:dyDescent="0.25">
      <c r="B1" s="1" t="s">
        <v>55</v>
      </c>
    </row>
    <row r="2" spans="2:2" x14ac:dyDescent="0.25">
      <c r="B2" s="2" t="s">
        <v>56</v>
      </c>
    </row>
    <row r="3" ht="30" customHeight="1" spans="2:13" x14ac:dyDescent="0.25">
      <c r="B3" s="33" t="s">
        <v>57</v>
      </c>
      <c r="C3" s="33" t="s">
        <v>58</v>
      </c>
      <c r="D3" s="33" t="s">
        <v>59</v>
      </c>
      <c r="E3" s="33" t="s">
        <v>60</v>
      </c>
      <c r="F3" s="33" t="s">
        <v>61</v>
      </c>
      <c r="G3" s="33" t="s">
        <v>62</v>
      </c>
      <c r="H3" s="33" t="s">
        <v>63</v>
      </c>
      <c r="I3" s="33" t="s">
        <v>64</v>
      </c>
      <c r="J3" s="33" t="s">
        <v>65</v>
      </c>
      <c r="K3" s="33" t="s">
        <v>66</v>
      </c>
      <c r="L3" s="33" t="s">
        <v>67</v>
      </c>
      <c r="M3" s="33" t="s">
        <v>38</v>
      </c>
    </row>
    <row r="4" spans="2:13" x14ac:dyDescent="0.25">
      <c r="B4" s="34">
        <f>'2. Pipeline'!$A$6</f>
      </c>
      <c r="C4" s="35" t="s">
        <v>68</v>
      </c>
      <c r="D4" s="36" t="s">
        <v>69</v>
      </c>
      <c r="E4" s="37">
        <f>'2. Pipeline'!$E$6</f>
      </c>
      <c r="F4" s="38">
        <v>15</v>
      </c>
      <c r="G4" s="39">
        <f>$E4+$F4</f>
      </c>
      <c r="H4" s="40">
        <f>'2. Pipeline'!$B$6</f>
      </c>
      <c r="I4" s="41">
        <f>1/3</f>
      </c>
      <c r="J4" s="40">
        <f>ROUND($H4*$I4,2)</f>
      </c>
      <c r="K4" s="42">
        <f>'2. Pipeline'!$D$6</f>
      </c>
      <c r="L4" s="43">
        <f>ROUND($J4*$K4,2)</f>
      </c>
      <c r="M4" s="35">
        <f>IF($G4&lt;'Rolling Cash Flow Projection'!$C$8,"Received","Scheduled")</f>
      </c>
    </row>
    <row r="5" spans="2:13" x14ac:dyDescent="0.25">
      <c r="B5" s="34">
        <f>'2. Pipeline'!$A$6</f>
      </c>
      <c r="C5" s="35" t="s">
        <v>68</v>
      </c>
      <c r="D5" s="36" t="s">
        <v>70</v>
      </c>
      <c r="E5" s="37">
        <f>'2. Pipeline'!$E$6+30</f>
      </c>
      <c r="F5" s="38">
        <v>15</v>
      </c>
      <c r="G5" s="39">
        <f>$E5+$F5</f>
      </c>
      <c r="H5" s="40">
        <f>'2. Pipeline'!$B$6</f>
      </c>
      <c r="I5" s="41">
        <f>1/3</f>
      </c>
      <c r="J5" s="40">
        <f>ROUND($H5*$I5,2)</f>
      </c>
      <c r="K5" s="42">
        <f>'2. Pipeline'!$D$6</f>
      </c>
      <c r="L5" s="43">
        <f>ROUND($J5*$K5,2)</f>
      </c>
      <c r="M5" s="35">
        <f>IF($G5&lt;'Rolling Cash Flow Projection'!$C$8,"Received","Scheduled")</f>
      </c>
    </row>
    <row r="6" spans="2:13" x14ac:dyDescent="0.25">
      <c r="B6" s="34">
        <f>'2. Pipeline'!$A$6</f>
      </c>
      <c r="C6" s="35" t="s">
        <v>68</v>
      </c>
      <c r="D6" s="36" t="s">
        <v>71</v>
      </c>
      <c r="E6" s="37">
        <f>'2. Pipeline'!$E$6+60</f>
      </c>
      <c r="F6" s="38">
        <v>15</v>
      </c>
      <c r="G6" s="39">
        <f>$E6+$F6</f>
      </c>
      <c r="H6" s="40">
        <f>'2. Pipeline'!$B$6</f>
      </c>
      <c r="I6" s="41">
        <f>1/3</f>
      </c>
      <c r="J6" s="40">
        <f>ROUND($H6*$I6,2)</f>
      </c>
      <c r="K6" s="42">
        <f>'2. Pipeline'!$D$6</f>
      </c>
      <c r="L6" s="43">
        <f>ROUND($J6*$K6,2)</f>
      </c>
      <c r="M6" s="35">
        <f>IF($G6&lt;'Rolling Cash Flow Projection'!$C$8,"Received","Scheduled")</f>
      </c>
    </row>
    <row r="7" spans="2:13" x14ac:dyDescent="0.25">
      <c r="B7" s="34">
        <f>'2. Pipeline'!$A$7</f>
      </c>
      <c r="C7" s="35" t="s">
        <v>68</v>
      </c>
      <c r="D7" s="36" t="s">
        <v>69</v>
      </c>
      <c r="E7" s="37">
        <f>'2. Pipeline'!$E$7</f>
      </c>
      <c r="F7" s="38">
        <v>15</v>
      </c>
      <c r="G7" s="39">
        <f>$E7+$F7</f>
      </c>
      <c r="H7" s="40">
        <f>'2. Pipeline'!$B$7</f>
      </c>
      <c r="I7" s="41">
        <f>1/3</f>
      </c>
      <c r="J7" s="40">
        <f>ROUND($H7*$I7,2)</f>
      </c>
      <c r="K7" s="42">
        <f>'2. Pipeline'!$D$7</f>
      </c>
      <c r="L7" s="43">
        <f>ROUND($J7*$K7,2)</f>
      </c>
      <c r="M7" s="35">
        <f>IF($G7&lt;'Rolling Cash Flow Projection'!$C$8,"Received","Scheduled")</f>
      </c>
    </row>
    <row r="8" spans="2:13" x14ac:dyDescent="0.25">
      <c r="B8" s="34">
        <f>'2. Pipeline'!$A$7</f>
      </c>
      <c r="C8" s="35" t="s">
        <v>68</v>
      </c>
      <c r="D8" s="36" t="s">
        <v>70</v>
      </c>
      <c r="E8" s="37">
        <f>'2. Pipeline'!$E$7+30</f>
      </c>
      <c r="F8" s="38">
        <v>15</v>
      </c>
      <c r="G8" s="39">
        <f>$E8+$F8</f>
      </c>
      <c r="H8" s="40">
        <f>'2. Pipeline'!$B$7</f>
      </c>
      <c r="I8" s="41">
        <f>1/3</f>
      </c>
      <c r="J8" s="40">
        <f>ROUND($H8*$I8,2)</f>
      </c>
      <c r="K8" s="42">
        <f>'2. Pipeline'!$D$7</f>
      </c>
      <c r="L8" s="43">
        <f>ROUND($J8*$K8,2)</f>
      </c>
      <c r="M8" s="35">
        <f>IF($G8&lt;'Rolling Cash Flow Projection'!$C$8,"Received","Scheduled")</f>
      </c>
    </row>
    <row r="9" spans="2:13" x14ac:dyDescent="0.25">
      <c r="B9" s="34">
        <f>'2. Pipeline'!$A$7</f>
      </c>
      <c r="C9" s="35" t="s">
        <v>68</v>
      </c>
      <c r="D9" s="36" t="s">
        <v>71</v>
      </c>
      <c r="E9" s="37">
        <f>'2. Pipeline'!$E$7+60</f>
      </c>
      <c r="F9" s="38">
        <v>15</v>
      </c>
      <c r="G9" s="39">
        <f>$E9+$F9</f>
      </c>
      <c r="H9" s="40">
        <f>'2. Pipeline'!$B$7</f>
      </c>
      <c r="I9" s="41">
        <f>1/3</f>
      </c>
      <c r="J9" s="40">
        <f>ROUND($H9*$I9,2)</f>
      </c>
      <c r="K9" s="42">
        <f>'2. Pipeline'!$D$7</f>
      </c>
      <c r="L9" s="43">
        <f>ROUND($J9*$K9,2)</f>
      </c>
      <c r="M9" s="35">
        <f>IF($G9&lt;'Rolling Cash Flow Projection'!$C$8,"Received","Scheduled")</f>
      </c>
    </row>
    <row r="10" spans="2:13" x14ac:dyDescent="0.25">
      <c r="B10" s="34">
        <f>'2. Pipeline'!$A$8</f>
      </c>
      <c r="C10" s="35" t="s">
        <v>68</v>
      </c>
      <c r="D10" s="36" t="s">
        <v>69</v>
      </c>
      <c r="E10" s="37">
        <f>'2. Pipeline'!$E$8</f>
      </c>
      <c r="F10" s="38">
        <v>15</v>
      </c>
      <c r="G10" s="39">
        <f>$E10+$F10</f>
      </c>
      <c r="H10" s="40">
        <f>'2. Pipeline'!$B$8</f>
      </c>
      <c r="I10" s="41">
        <f>1/3</f>
      </c>
      <c r="J10" s="40">
        <f>ROUND($H10*$I10,2)</f>
      </c>
      <c r="K10" s="42">
        <f>'2. Pipeline'!$D$8</f>
      </c>
      <c r="L10" s="43">
        <f>ROUND($J10*$K10,2)</f>
      </c>
      <c r="M10" s="35">
        <f>IF($G10&lt;'Rolling Cash Flow Projection'!$C$8,"Received","Scheduled")</f>
      </c>
    </row>
    <row r="11" spans="2:13" x14ac:dyDescent="0.25">
      <c r="B11" s="34">
        <f>'2. Pipeline'!$A$8</f>
      </c>
      <c r="C11" s="35" t="s">
        <v>68</v>
      </c>
      <c r="D11" s="36" t="s">
        <v>70</v>
      </c>
      <c r="E11" s="37">
        <f>'2. Pipeline'!$E$8+30</f>
      </c>
      <c r="F11" s="38">
        <v>15</v>
      </c>
      <c r="G11" s="39">
        <f>$E11+$F11</f>
      </c>
      <c r="H11" s="40">
        <f>'2. Pipeline'!$B$8</f>
      </c>
      <c r="I11" s="41">
        <f>1/3</f>
      </c>
      <c r="J11" s="40">
        <f>ROUND($H11*$I11,2)</f>
      </c>
      <c r="K11" s="42">
        <f>'2. Pipeline'!$D$8</f>
      </c>
      <c r="L11" s="43">
        <f>ROUND($J11*$K11,2)</f>
      </c>
      <c r="M11" s="35">
        <f>IF($G11&lt;'Rolling Cash Flow Projection'!$C$8,"Received","Scheduled")</f>
      </c>
    </row>
    <row r="12" spans="2:13" x14ac:dyDescent="0.25">
      <c r="B12" s="34">
        <f>'2. Pipeline'!$A$8</f>
      </c>
      <c r="C12" s="35" t="s">
        <v>68</v>
      </c>
      <c r="D12" s="36" t="s">
        <v>71</v>
      </c>
      <c r="E12" s="37">
        <f>'2. Pipeline'!$E$8+60</f>
      </c>
      <c r="F12" s="38">
        <v>15</v>
      </c>
      <c r="G12" s="39">
        <f>$E12+$F12</f>
      </c>
      <c r="H12" s="40">
        <f>'2. Pipeline'!$B$8</f>
      </c>
      <c r="I12" s="41">
        <f>1/3</f>
      </c>
      <c r="J12" s="40">
        <f>ROUND($H12*$I12,2)</f>
      </c>
      <c r="K12" s="42">
        <f>'2. Pipeline'!$D$8</f>
      </c>
      <c r="L12" s="43">
        <f>ROUND($J12*$K12,2)</f>
      </c>
      <c r="M12" s="35">
        <f>IF($G12&lt;'Rolling Cash Flow Projection'!$C$8,"Received","Scheduled")</f>
      </c>
    </row>
    <row r="13" spans="2:13" x14ac:dyDescent="0.25">
      <c r="B13" s="34">
        <f>'2. Pipeline'!$A$9</f>
      </c>
      <c r="C13" s="35" t="s">
        <v>68</v>
      </c>
      <c r="D13" s="36" t="s">
        <v>69</v>
      </c>
      <c r="E13" s="37">
        <f>'2. Pipeline'!$E$9</f>
      </c>
      <c r="F13" s="38">
        <v>15</v>
      </c>
      <c r="G13" s="39">
        <f>$E13+$F13</f>
      </c>
      <c r="H13" s="40">
        <f>'2. Pipeline'!$B$9</f>
      </c>
      <c r="I13" s="41">
        <f>1/3</f>
      </c>
      <c r="J13" s="40">
        <f>ROUND($H13*$I13,2)</f>
      </c>
      <c r="K13" s="42">
        <f>'2. Pipeline'!$D$9</f>
      </c>
      <c r="L13" s="43">
        <f>ROUND($J13*$K13,2)</f>
      </c>
      <c r="M13" s="35">
        <f>IF($G13&lt;'Rolling Cash Flow Projection'!$C$8,"Received","Scheduled")</f>
      </c>
    </row>
    <row r="14" spans="2:13" x14ac:dyDescent="0.25">
      <c r="B14" s="34">
        <f>'2. Pipeline'!$A$9</f>
      </c>
      <c r="C14" s="35" t="s">
        <v>68</v>
      </c>
      <c r="D14" s="36" t="s">
        <v>70</v>
      </c>
      <c r="E14" s="37">
        <f>'2. Pipeline'!$E$9+30</f>
      </c>
      <c r="F14" s="38">
        <v>15</v>
      </c>
      <c r="G14" s="39">
        <f>$E14+$F14</f>
      </c>
      <c r="H14" s="40">
        <f>'2. Pipeline'!$B$9</f>
      </c>
      <c r="I14" s="41">
        <f>1/3</f>
      </c>
      <c r="J14" s="40">
        <f>ROUND($H14*$I14,2)</f>
      </c>
      <c r="K14" s="42">
        <f>'2. Pipeline'!$D$9</f>
      </c>
      <c r="L14" s="43">
        <f>ROUND($J14*$K14,2)</f>
      </c>
      <c r="M14" s="35">
        <f>IF($G14&lt;'Rolling Cash Flow Projection'!$C$8,"Received","Scheduled")</f>
      </c>
    </row>
    <row r="15" spans="2:13" x14ac:dyDescent="0.25">
      <c r="B15" s="34">
        <f>'2. Pipeline'!$A$9</f>
      </c>
      <c r="C15" s="35" t="s">
        <v>68</v>
      </c>
      <c r="D15" s="36" t="s">
        <v>71</v>
      </c>
      <c r="E15" s="37">
        <f>'2. Pipeline'!$E$9+60</f>
      </c>
      <c r="F15" s="38">
        <v>15</v>
      </c>
      <c r="G15" s="39">
        <f>$E15+$F15</f>
      </c>
      <c r="H15" s="40">
        <f>'2. Pipeline'!$B$9</f>
      </c>
      <c r="I15" s="41">
        <f>1/3</f>
      </c>
      <c r="J15" s="40">
        <f>ROUND($H15*$I15,2)</f>
      </c>
      <c r="K15" s="42">
        <f>'2. Pipeline'!$D$9</f>
      </c>
      <c r="L15" s="43">
        <f>ROUND($J15*$K15,2)</f>
      </c>
      <c r="M15" s="35">
        <f>IF($G15&lt;'Rolling Cash Flow Projection'!$C$8,"Received","Scheduled")</f>
      </c>
    </row>
    <row r="16" spans="2:13" x14ac:dyDescent="0.25">
      <c r="B16" s="44">
        <f>'1. Signed Engagements'!$A$6</f>
      </c>
      <c r="C16" s="45" t="s">
        <v>72</v>
      </c>
      <c r="D16" s="25" t="s">
        <v>73</v>
      </c>
      <c r="E16" s="46">
        <f>'1. Signed Engagements'!$C$6</f>
      </c>
      <c r="F16" s="28">
        <v>15</v>
      </c>
      <c r="G16" s="47">
        <f>$E16+$F16</f>
      </c>
      <c r="H16" s="48">
        <f>'1. Signed Engagements'!$B$6</f>
      </c>
      <c r="I16" s="49">
        <f>1/3</f>
      </c>
      <c r="J16" s="48">
        <f>ROUND($H16*$I16,2)</f>
      </c>
      <c r="K16" s="31">
        <v>1</v>
      </c>
      <c r="L16" s="50">
        <f>ROUND($J16*$K16,2)</f>
      </c>
      <c r="M16" s="45">
        <f>IF($G16&lt;'Rolling Cash Flow Projection'!$C$8,"Received","Scheduled")</f>
      </c>
    </row>
    <row r="17" spans="2:13" x14ac:dyDescent="0.25">
      <c r="B17" s="44">
        <f>'1. Signed Engagements'!$A$6</f>
      </c>
      <c r="C17" s="45" t="s">
        <v>72</v>
      </c>
      <c r="D17" s="25" t="s">
        <v>74</v>
      </c>
      <c r="E17" s="46">
        <f>'1. Signed Engagements'!$C$6+30</f>
      </c>
      <c r="F17" s="28">
        <v>15</v>
      </c>
      <c r="G17" s="47">
        <f>$E17+$F17</f>
      </c>
      <c r="H17" s="48">
        <f>'1. Signed Engagements'!$B$6</f>
      </c>
      <c r="I17" s="49">
        <f>1/3</f>
      </c>
      <c r="J17" s="48">
        <f>ROUND($H17*$I17,2)</f>
      </c>
      <c r="K17" s="31">
        <v>1</v>
      </c>
      <c r="L17" s="50">
        <f>ROUND($J17*$K17,2)</f>
      </c>
      <c r="M17" s="45">
        <f>IF($G17&lt;'Rolling Cash Flow Projection'!$C$8,"Received","Scheduled")</f>
      </c>
    </row>
    <row r="18" spans="2:13" x14ac:dyDescent="0.25">
      <c r="B18" s="44">
        <f>'1. Signed Engagements'!$A$6</f>
      </c>
      <c r="C18" s="45" t="s">
        <v>72</v>
      </c>
      <c r="D18" s="25" t="s">
        <v>75</v>
      </c>
      <c r="E18" s="46">
        <f>'1. Signed Engagements'!$C$6+60</f>
      </c>
      <c r="F18" s="28">
        <v>15</v>
      </c>
      <c r="G18" s="47">
        <f>$E18+$F18</f>
      </c>
      <c r="H18" s="48">
        <f>'1. Signed Engagements'!$B$6</f>
      </c>
      <c r="I18" s="49">
        <f>1/3</f>
      </c>
      <c r="J18" s="48">
        <f>ROUND($H18*$I18,2)</f>
      </c>
      <c r="K18" s="31">
        <v>1</v>
      </c>
      <c r="L18" s="50">
        <f>ROUND($J18*$K18,2)</f>
      </c>
      <c r="M18" s="45">
        <f>IF($G18&lt;'Rolling Cash Flow Projection'!$C$8,"Received","Scheduled")</f>
      </c>
    </row>
    <row r="19" spans="2:13" x14ac:dyDescent="0.25">
      <c r="B19" s="44">
        <f>'1. Signed Engagements'!$A$7</f>
      </c>
      <c r="C19" s="45" t="s">
        <v>72</v>
      </c>
      <c r="D19" s="25" t="s">
        <v>73</v>
      </c>
      <c r="E19" s="46">
        <f>'1. Signed Engagements'!$C$7</f>
      </c>
      <c r="F19" s="28">
        <v>15</v>
      </c>
      <c r="G19" s="47">
        <f>$E19+$F19</f>
      </c>
      <c r="H19" s="48">
        <f>'1. Signed Engagements'!$B$7</f>
      </c>
      <c r="I19" s="49">
        <f>1/3</f>
      </c>
      <c r="J19" s="48">
        <f>ROUND($H19*$I19,2)</f>
      </c>
      <c r="K19" s="31">
        <v>1</v>
      </c>
      <c r="L19" s="50">
        <f>ROUND($J19*$K19,2)</f>
      </c>
      <c r="M19" s="45">
        <f>IF($G19&lt;'Rolling Cash Flow Projection'!$C$8,"Received","Scheduled")</f>
      </c>
    </row>
    <row r="20" spans="2:13" x14ac:dyDescent="0.25">
      <c r="B20" s="44">
        <f>'1. Signed Engagements'!$A$7</f>
      </c>
      <c r="C20" s="45" t="s">
        <v>72</v>
      </c>
      <c r="D20" s="25" t="s">
        <v>74</v>
      </c>
      <c r="E20" s="46">
        <f>'1. Signed Engagements'!$C$7+30</f>
      </c>
      <c r="F20" s="28">
        <v>15</v>
      </c>
      <c r="G20" s="47">
        <f>$E20+$F20</f>
      </c>
      <c r="H20" s="48">
        <f>'1. Signed Engagements'!$B$7</f>
      </c>
      <c r="I20" s="49">
        <f>1/3</f>
      </c>
      <c r="J20" s="48">
        <f>ROUND($H20*$I20,2)</f>
      </c>
      <c r="K20" s="31">
        <v>1</v>
      </c>
      <c r="L20" s="50">
        <f>ROUND($J20*$K20,2)</f>
      </c>
      <c r="M20" s="45">
        <f>IF($G20&lt;'Rolling Cash Flow Projection'!$C$8,"Received","Scheduled")</f>
      </c>
    </row>
    <row r="21" spans="2:13" x14ac:dyDescent="0.25">
      <c r="B21" s="44">
        <f>'1. Signed Engagements'!$A$7</f>
      </c>
      <c r="C21" s="45" t="s">
        <v>72</v>
      </c>
      <c r="D21" s="25" t="s">
        <v>75</v>
      </c>
      <c r="E21" s="46">
        <f>'1. Signed Engagements'!$C$7+60</f>
      </c>
      <c r="F21" s="28">
        <v>15</v>
      </c>
      <c r="G21" s="47">
        <f>$E21+$F21</f>
      </c>
      <c r="H21" s="48">
        <f>'1. Signed Engagements'!$B$7</f>
      </c>
      <c r="I21" s="49">
        <f>1/3</f>
      </c>
      <c r="J21" s="48">
        <f>ROUND($H21*$I21,2)</f>
      </c>
      <c r="K21" s="31">
        <v>1</v>
      </c>
      <c r="L21" s="50">
        <f>ROUND($J21*$K21,2)</f>
      </c>
      <c r="M21" s="45">
        <f>IF($G21&lt;'Rolling Cash Flow Projection'!$C$8,"Received","Scheduled")</f>
      </c>
    </row>
    <row r="22" spans="2:13" x14ac:dyDescent="0.25">
      <c r="B22" s="44">
        <f>'1. Signed Engagements'!$A$8</f>
      </c>
      <c r="C22" s="45" t="s">
        <v>72</v>
      </c>
      <c r="D22" s="25" t="s">
        <v>73</v>
      </c>
      <c r="E22" s="46">
        <f>'1. Signed Engagements'!$C$8</f>
      </c>
      <c r="F22" s="28">
        <v>15</v>
      </c>
      <c r="G22" s="47">
        <f>$E22+$F22</f>
      </c>
      <c r="H22" s="48">
        <f>'1. Signed Engagements'!$B$8</f>
      </c>
      <c r="I22" s="49">
        <f>0.5</f>
      </c>
      <c r="J22" s="48">
        <f>ROUND($H22*$I22,2)</f>
      </c>
      <c r="K22" s="31">
        <v>1</v>
      </c>
      <c r="L22" s="50">
        <f>ROUND($J22*$K22,2)</f>
      </c>
      <c r="M22" s="45">
        <f>IF($G22&lt;'Rolling Cash Flow Projection'!$C$8,"Received","Scheduled")</f>
      </c>
    </row>
    <row r="23" spans="2:13" x14ac:dyDescent="0.25">
      <c r="B23" s="44">
        <f>'1. Signed Engagements'!$A$8</f>
      </c>
      <c r="C23" s="45" t="s">
        <v>72</v>
      </c>
      <c r="D23" s="25" t="s">
        <v>76</v>
      </c>
      <c r="E23" s="46">
        <f>'1. Signed Engagements'!$E$8</f>
      </c>
      <c r="F23" s="28">
        <v>15</v>
      </c>
      <c r="G23" s="47">
        <f>$E23+$F23</f>
      </c>
      <c r="H23" s="48">
        <f>'1. Signed Engagements'!$B$8</f>
      </c>
      <c r="I23" s="49">
        <f>0.5</f>
      </c>
      <c r="J23" s="48">
        <f>ROUND($H23*$I23,2)</f>
      </c>
      <c r="K23" s="31">
        <v>1</v>
      </c>
      <c r="L23" s="50">
        <f>ROUND($J23*$K23,2)</f>
      </c>
      <c r="M23" s="45">
        <f>IF($G23&lt;'Rolling Cash Flow Projection'!$C$8,"Received","Scheduled")</f>
      </c>
    </row>
    <row r="24" spans="2:13" x14ac:dyDescent="0.25">
      <c r="B24" s="44">
        <f>'1. Signed Engagements'!$A$9</f>
      </c>
      <c r="C24" s="45" t="s">
        <v>72</v>
      </c>
      <c r="D24" s="25" t="s">
        <v>73</v>
      </c>
      <c r="E24" s="46">
        <f>'1. Signed Engagements'!$C$9</f>
      </c>
      <c r="F24" s="28">
        <v>15</v>
      </c>
      <c r="G24" s="47">
        <f>$E24+$F24</f>
      </c>
      <c r="H24" s="48">
        <f>'1. Signed Engagements'!$B$9</f>
      </c>
      <c r="I24" s="49">
        <f>0.5</f>
      </c>
      <c r="J24" s="48">
        <f>ROUND($H24*$I24,2)</f>
      </c>
      <c r="K24" s="31">
        <v>1</v>
      </c>
      <c r="L24" s="50">
        <f>ROUND($J24*$K24,2)</f>
      </c>
      <c r="M24" s="45">
        <f>IF($G24&lt;'Rolling Cash Flow Projection'!$C$8,"Received","Scheduled")</f>
      </c>
    </row>
    <row r="25" spans="2:13" x14ac:dyDescent="0.25">
      <c r="B25" s="44">
        <f>'1. Signed Engagements'!$A$9</f>
      </c>
      <c r="C25" s="45" t="s">
        <v>72</v>
      </c>
      <c r="D25" s="25" t="s">
        <v>77</v>
      </c>
      <c r="E25" s="46">
        <f>'1. Signed Engagements'!$E$9</f>
      </c>
      <c r="F25" s="28">
        <v>15</v>
      </c>
      <c r="G25" s="47">
        <f>$E25+$F25</f>
      </c>
      <c r="H25" s="48">
        <f>'1. Signed Engagements'!$B$9</f>
      </c>
      <c r="I25" s="49">
        <f>0.5</f>
      </c>
      <c r="J25" s="48">
        <f>ROUND($H25*$I25,2)</f>
      </c>
      <c r="K25" s="31">
        <v>1</v>
      </c>
      <c r="L25" s="50">
        <f>ROUND($J25*$K25,2)</f>
      </c>
      <c r="M25" s="45">
        <f>IF($G25&lt;'Rolling Cash Flow Projection'!$C$8,"Received","Scheduled")</f>
      </c>
    </row>
    <row r="26" spans="2:13" x14ac:dyDescent="0.25">
      <c r="B26" s="44">
        <f>'1. Signed Engagements'!$A$10</f>
      </c>
      <c r="C26" s="45" t="s">
        <v>72</v>
      </c>
      <c r="D26" s="25" t="s">
        <v>73</v>
      </c>
      <c r="E26" s="46">
        <f>'1. Signed Engagements'!$C$10</f>
      </c>
      <c r="F26" s="28">
        <v>15</v>
      </c>
      <c r="G26" s="47">
        <f>$E26+$F26</f>
      </c>
      <c r="H26" s="48">
        <f>'1. Signed Engagements'!$B$10</f>
      </c>
      <c r="I26" s="49">
        <f>1/3</f>
      </c>
      <c r="J26" s="48">
        <f>ROUND($H26*$I26,2)</f>
      </c>
      <c r="K26" s="31">
        <v>1</v>
      </c>
      <c r="L26" s="50">
        <f>ROUND($J26*$K26,2)</f>
      </c>
      <c r="M26" s="45">
        <f>IF($G26&lt;'Rolling Cash Flow Projection'!$C$8,"Received","Scheduled")</f>
      </c>
    </row>
    <row r="27" spans="2:13" x14ac:dyDescent="0.25">
      <c r="B27" s="44">
        <f>'1. Signed Engagements'!$A$10</f>
      </c>
      <c r="C27" s="45" t="s">
        <v>72</v>
      </c>
      <c r="D27" s="25" t="s">
        <v>74</v>
      </c>
      <c r="E27" s="46">
        <f>'1. Signed Engagements'!$C$10+30</f>
      </c>
      <c r="F27" s="28">
        <v>15</v>
      </c>
      <c r="G27" s="47">
        <f>$E27+$F27</f>
      </c>
      <c r="H27" s="48">
        <f>'1. Signed Engagements'!$B$10</f>
      </c>
      <c r="I27" s="49">
        <f>1/3</f>
      </c>
      <c r="J27" s="48">
        <f>ROUND($H27*$I27,2)</f>
      </c>
      <c r="K27" s="31">
        <v>1</v>
      </c>
      <c r="L27" s="50">
        <f>ROUND($J27*$K27,2)</f>
      </c>
      <c r="M27" s="45">
        <f>IF($G27&lt;'Rolling Cash Flow Projection'!$C$8,"Received","Scheduled")</f>
      </c>
    </row>
    <row r="28" spans="2:13" x14ac:dyDescent="0.25">
      <c r="B28" s="44">
        <f>'1. Signed Engagements'!$A$10</f>
      </c>
      <c r="C28" s="45" t="s">
        <v>72</v>
      </c>
      <c r="D28" s="25" t="s">
        <v>75</v>
      </c>
      <c r="E28" s="46">
        <f>'1. Signed Engagements'!$C$10+60</f>
      </c>
      <c r="F28" s="28">
        <v>15</v>
      </c>
      <c r="G28" s="47">
        <f>$E28+$F28</f>
      </c>
      <c r="H28" s="48">
        <f>'1. Signed Engagements'!$B$10</f>
      </c>
      <c r="I28" s="49">
        <f>1/3</f>
      </c>
      <c r="J28" s="48">
        <f>ROUND($H28*$I28,2)</f>
      </c>
      <c r="K28" s="31">
        <v>1</v>
      </c>
      <c r="L28" s="50">
        <f>ROUND($J28*$K28,2)</f>
      </c>
      <c r="M28" s="45">
        <f>IF($G28&lt;'Rolling Cash Flow Projection'!$C$8,"Received","Scheduled")</f>
      </c>
    </row>
    <row r="29" spans="4:12" x14ac:dyDescent="0.25">
      <c r="D29" s="10" t="s">
        <v>78</v>
      </c>
      <c r="J29" s="19">
        <f>SUM(J4:J28)</f>
      </c>
      <c r="L29" s="19">
        <f>SUM(L4:L28)</f>
      </c>
    </row>
    <row r="30" spans="4:12" x14ac:dyDescent="0.25">
      <c r="D30" s="51" t="s">
        <v>79</v>
      </c>
      <c r="J30" s="52">
        <f>SUMIFS($J$4:$J$28,$G$4:$G$28,"&gt;="&amp;'Rolling Cash Flow Projection'!$C$12,$G$4:$G$28,"&lt;="&amp;'Rolling Cash Flow Projection'!$O$13)</f>
      </c>
      <c r="L30" s="52">
        <f>SUMIFS($L$4:$L$28,$G$4:$G$28,"&gt;="&amp;'Rolling Cash Flow Projection'!$C$12,$G$4:$G$28,"&lt;="&amp;'Rolling Cash Flow Projection'!$O$13)</f>
      </c>
    </row>
    <row r="32" spans="2:2" x14ac:dyDescent="0.25">
      <c r="B32" s="3" t="s">
        <v>80</v>
      </c>
    </row>
    <row r="33" ht="30" customHeight="1" spans="2:6" x14ac:dyDescent="0.25">
      <c r="B33" s="33" t="s">
        <v>81</v>
      </c>
      <c r="C33" s="33" t="s">
        <v>82</v>
      </c>
      <c r="D33" s="33" t="s">
        <v>83</v>
      </c>
      <c r="E33" s="33" t="s">
        <v>84</v>
      </c>
      <c r="F33" s="33" t="s">
        <v>38</v>
      </c>
    </row>
    <row r="34" spans="2:6" x14ac:dyDescent="0.25">
      <c r="B34" s="44">
        <f>'2. Pipeline'!$A$6</f>
      </c>
      <c r="C34" s="48">
        <f>'2. Pipeline'!$B$6</f>
      </c>
      <c r="D34" s="48">
        <f>SUMIF($B$4:$B$28,$B34,$J$4:$J$28)</f>
      </c>
      <c r="E34" s="53">
        <f>$C34-$D34</f>
      </c>
      <c r="F34" s="27">
        <f>IF(ABS($E34)&lt;0.5,"OK","ERROR")</f>
      </c>
    </row>
    <row r="35" spans="2:6" x14ac:dyDescent="0.25">
      <c r="B35" s="44">
        <f>'2. Pipeline'!$A$7</f>
      </c>
      <c r="C35" s="48">
        <f>'2. Pipeline'!$B$7</f>
      </c>
      <c r="D35" s="48">
        <f>SUMIF($B$4:$B$28,$B35,$J$4:$J$28)</f>
      </c>
      <c r="E35" s="53">
        <f>$C35-$D35</f>
      </c>
      <c r="F35" s="27">
        <f>IF(ABS($E35)&lt;0.5,"OK","ERROR")</f>
      </c>
    </row>
    <row r="36" spans="2:6" x14ac:dyDescent="0.25">
      <c r="B36" s="44">
        <f>'2. Pipeline'!$A$8</f>
      </c>
      <c r="C36" s="48">
        <f>'2. Pipeline'!$B$8</f>
      </c>
      <c r="D36" s="48">
        <f>SUMIF($B$4:$B$28,$B36,$J$4:$J$28)</f>
      </c>
      <c r="E36" s="53">
        <f>$C36-$D36</f>
      </c>
      <c r="F36" s="27">
        <f>IF(ABS($E36)&lt;0.5,"OK","ERROR")</f>
      </c>
    </row>
    <row r="37" spans="2:6" x14ac:dyDescent="0.25">
      <c r="B37" s="44">
        <f>'2. Pipeline'!$A$9</f>
      </c>
      <c r="C37" s="48">
        <f>'2. Pipeline'!$B$9</f>
      </c>
      <c r="D37" s="48">
        <f>SUMIF($B$4:$B$28,$B37,$J$4:$J$28)</f>
      </c>
      <c r="E37" s="53">
        <f>$C37-$D37</f>
      </c>
      <c r="F37" s="27">
        <f>IF(ABS($E37)&lt;0.5,"OK","ERROR")</f>
      </c>
    </row>
    <row r="38" spans="2:6" x14ac:dyDescent="0.25">
      <c r="B38" s="44">
        <f>'1. Signed Engagements'!$A$6</f>
      </c>
      <c r="C38" s="48">
        <f>'1. Signed Engagements'!$B$6</f>
      </c>
      <c r="D38" s="48">
        <f>SUMIF($B$4:$B$28,$B38,$J$4:$J$28)</f>
      </c>
      <c r="E38" s="53">
        <f>$C38-$D38</f>
      </c>
      <c r="F38" s="27">
        <f>IF(ABS($E38)&lt;0.5,"OK","ERROR")</f>
      </c>
    </row>
    <row r="39" spans="2:6" x14ac:dyDescent="0.25">
      <c r="B39" s="44">
        <f>'1. Signed Engagements'!$A$7</f>
      </c>
      <c r="C39" s="48">
        <f>'1. Signed Engagements'!$B$7</f>
      </c>
      <c r="D39" s="48">
        <f>SUMIF($B$4:$B$28,$B39,$J$4:$J$28)</f>
      </c>
      <c r="E39" s="53">
        <f>$C39-$D39</f>
      </c>
      <c r="F39" s="27">
        <f>IF(ABS($E39)&lt;0.5,"OK","ERROR")</f>
      </c>
    </row>
    <row r="40" spans="2:6" x14ac:dyDescent="0.25">
      <c r="B40" s="44">
        <f>'1. Signed Engagements'!$A$8</f>
      </c>
      <c r="C40" s="48">
        <f>'1. Signed Engagements'!$B$8</f>
      </c>
      <c r="D40" s="48">
        <f>SUMIF($B$4:$B$28,$B40,$J$4:$J$28)</f>
      </c>
      <c r="E40" s="53">
        <f>$C40-$D40</f>
      </c>
      <c r="F40" s="27">
        <f>IF(ABS($E40)&lt;0.5,"OK","ERROR")</f>
      </c>
    </row>
    <row r="41" spans="2:6" x14ac:dyDescent="0.25">
      <c r="B41" s="44">
        <f>'1. Signed Engagements'!$A$9</f>
      </c>
      <c r="C41" s="48">
        <f>'1. Signed Engagements'!$B$9</f>
      </c>
      <c r="D41" s="48">
        <f>SUMIF($B$4:$B$28,$B41,$J$4:$J$28)</f>
      </c>
      <c r="E41" s="53">
        <f>$C41-$D41</f>
      </c>
      <c r="F41" s="27">
        <f>IF(ABS($E41)&lt;0.5,"OK","ERROR")</f>
      </c>
    </row>
    <row r="42" spans="2:6" x14ac:dyDescent="0.25">
      <c r="B42" s="44">
        <f>'1. Signed Engagements'!$A$10</f>
      </c>
      <c r="C42" s="48">
        <f>'1. Signed Engagements'!$B$10</f>
      </c>
      <c r="D42" s="48">
        <f>SUMIF($B$4:$B$28,$B42,$J$4:$J$28)</f>
      </c>
      <c r="E42" s="53">
        <f>$C42-$D42</f>
      </c>
      <c r="F42" s="27">
        <f>IF(ABS($E42)&lt;0.5,"OK","ERROR")</f>
      </c>
    </row>
    <row r="43" spans="2:6" x14ac:dyDescent="0.25">
      <c r="B43" s="10" t="s">
        <v>85</v>
      </c>
      <c r="F43" s="27">
        <f>COUNTIF($F$34:$F$42,"ERROR")</f>
      </c>
    </row>
  </sheetData>
  <pageMargins left="0.7" right="0.7" top="0.75" bottom="0.75" header="0.3" footer="0.3"/>
  <pageSetup orientation="landscape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DC3E6"/>
    <pageSetUpPr fitToPage="1"/>
  </sheetPr>
  <dimension ref="B1:J55"/>
  <sheetViews>
    <sheetView workbookViewId="0" showGridLines="0" zoomScale="75">
      <pane xSplit="2" ySplit="3" topLeftCell="C4" activePane="bottomRight" state="frozen"/>
      <selection pane="bottomRight"/>
    </sheetView>
  </sheetViews>
  <sheetFormatPr defaultRowHeight="15" outlineLevelRow="0" outlineLevelCol="0" x14ac:dyDescent="55"/>
  <cols>
    <col min="2" max="2" width="34" customWidth="1"/>
    <col min="3" max="3" width="12" customWidth="1"/>
    <col min="4" max="4" width="40" customWidth="1"/>
    <col min="5" max="5" width="14" customWidth="1"/>
    <col min="6" max="6" width="16" customWidth="1"/>
    <col min="7" max="7" width="14" customWidth="1"/>
    <col min="8" max="8" width="16" customWidth="1"/>
    <col min="9" max="9" width="10" customWidth="1"/>
    <col min="10" max="10" width="15" customWidth="1"/>
  </cols>
  <sheetData>
    <row r="1" ht="17" customHeight="1" spans="2:2" x14ac:dyDescent="0.25">
      <c r="B1" s="1" t="s">
        <v>86</v>
      </c>
    </row>
    <row r="2" spans="2:2" x14ac:dyDescent="0.25">
      <c r="B2" s="2" t="s">
        <v>87</v>
      </c>
    </row>
    <row r="3" ht="30" customHeight="1" spans="2:10" x14ac:dyDescent="0.25">
      <c r="B3" s="33" t="s">
        <v>88</v>
      </c>
      <c r="C3" s="33" t="s">
        <v>58</v>
      </c>
      <c r="D3" s="33" t="s">
        <v>89</v>
      </c>
      <c r="E3" s="33" t="s">
        <v>60</v>
      </c>
      <c r="F3" s="33" t="s">
        <v>61</v>
      </c>
      <c r="G3" s="33" t="s">
        <v>90</v>
      </c>
      <c r="H3" s="33" t="s">
        <v>91</v>
      </c>
      <c r="I3" s="33" t="s">
        <v>64</v>
      </c>
      <c r="J3" s="33" t="s">
        <v>92</v>
      </c>
    </row>
    <row r="4" spans="2:10" x14ac:dyDescent="0.25">
      <c r="B4" s="44">
        <f>'3. Expenses'!$A$6</f>
      </c>
      <c r="C4" s="45">
        <f>'3. Expenses'!$B$6</f>
      </c>
      <c r="D4" s="25" t="s">
        <v>93</v>
      </c>
      <c r="E4" s="46">
        <v>46266</v>
      </c>
      <c r="F4" s="28">
        <v>0</v>
      </c>
      <c r="G4" s="47">
        <f>IF(WEEKDAY($E4+$F4,2)=6,$E4+$F4-1,IF(WEEKDAY($E4+$F4,2)=7,$E4+$F4-2,$E4+$F4))</f>
      </c>
      <c r="H4" s="48">
        <f>'3. Expenses'!$C$6</f>
      </c>
      <c r="I4" s="49">
        <f>3</f>
      </c>
      <c r="J4" s="50">
        <f>ROUND($H4*$I4,2)</f>
      </c>
    </row>
    <row r="5" spans="2:10" x14ac:dyDescent="0.25">
      <c r="B5" s="44">
        <f>'3. Expenses'!$A$6</f>
      </c>
      <c r="C5" s="45">
        <f>'3. Expenses'!$B$6</f>
      </c>
      <c r="D5" s="25" t="s">
        <v>93</v>
      </c>
      <c r="E5" s="46">
        <v>46357</v>
      </c>
      <c r="F5" s="28">
        <v>0</v>
      </c>
      <c r="G5" s="47">
        <f>IF(WEEKDAY($E5+$F5,2)=6,$E5+$F5-1,IF(WEEKDAY($E5+$F5,2)=7,$E5+$F5-2,$E5+$F5))</f>
      </c>
      <c r="H5" s="48">
        <f>'3. Expenses'!$C$6</f>
      </c>
      <c r="I5" s="49">
        <f>3</f>
      </c>
      <c r="J5" s="50">
        <f>ROUND($H5*$I5,2)</f>
      </c>
    </row>
    <row r="6" spans="2:10" x14ac:dyDescent="0.25">
      <c r="B6" s="34">
        <f>'3. Expenses'!$A$7</f>
      </c>
      <c r="C6" s="35">
        <f>'3. Expenses'!$B$7</f>
      </c>
      <c r="D6" s="36" t="s">
        <v>94</v>
      </c>
      <c r="E6" s="37">
        <v>46244</v>
      </c>
      <c r="F6" s="38">
        <v>0</v>
      </c>
      <c r="G6" s="39">
        <f>IF(WEEKDAY($E6+$F6,2)=6,$E6+$F6-1,IF(WEEKDAY($E6+$F6,2)=7,$E6+$F6-2,$E6+$F6))</f>
      </c>
      <c r="H6" s="40">
        <f>'3. Expenses'!$C$7</f>
      </c>
      <c r="I6" s="41">
        <f>12/52</f>
      </c>
      <c r="J6" s="43">
        <f>ROUND($H6*$I6,2)</f>
      </c>
    </row>
    <row r="7" spans="2:10" x14ac:dyDescent="0.25">
      <c r="B7" s="34">
        <f>'3. Expenses'!$A$7</f>
      </c>
      <c r="C7" s="35">
        <f>'3. Expenses'!$B$7</f>
      </c>
      <c r="D7" s="36" t="s">
        <v>94</v>
      </c>
      <c r="E7" s="37">
        <v>46251</v>
      </c>
      <c r="F7" s="38">
        <v>0</v>
      </c>
      <c r="G7" s="39">
        <f>IF(WEEKDAY($E7+$F7,2)=6,$E7+$F7-1,IF(WEEKDAY($E7+$F7,2)=7,$E7+$F7-2,$E7+$F7))</f>
      </c>
      <c r="H7" s="40">
        <f>'3. Expenses'!$C$7</f>
      </c>
      <c r="I7" s="41">
        <f>12/52</f>
      </c>
      <c r="J7" s="43">
        <f>ROUND($H7*$I7,2)</f>
      </c>
    </row>
    <row r="8" spans="2:10" x14ac:dyDescent="0.25">
      <c r="B8" s="34">
        <f>'3. Expenses'!$A$7</f>
      </c>
      <c r="C8" s="35">
        <f>'3. Expenses'!$B$7</f>
      </c>
      <c r="D8" s="36" t="s">
        <v>94</v>
      </c>
      <c r="E8" s="37">
        <v>46258</v>
      </c>
      <c r="F8" s="38">
        <v>0</v>
      </c>
      <c r="G8" s="39">
        <f>IF(WEEKDAY($E8+$F8,2)=6,$E8+$F8-1,IF(WEEKDAY($E8+$F8,2)=7,$E8+$F8-2,$E8+$F8))</f>
      </c>
      <c r="H8" s="40">
        <f>'3. Expenses'!$C$7</f>
      </c>
      <c r="I8" s="41">
        <f>12/52</f>
      </c>
      <c r="J8" s="43">
        <f>ROUND($H8*$I8,2)</f>
      </c>
    </row>
    <row r="9" spans="2:10" x14ac:dyDescent="0.25">
      <c r="B9" s="34">
        <f>'3. Expenses'!$A$7</f>
      </c>
      <c r="C9" s="35">
        <f>'3. Expenses'!$B$7</f>
      </c>
      <c r="D9" s="36" t="s">
        <v>94</v>
      </c>
      <c r="E9" s="37">
        <v>46265</v>
      </c>
      <c r="F9" s="38">
        <v>0</v>
      </c>
      <c r="G9" s="39">
        <f>IF(WEEKDAY($E9+$F9,2)=6,$E9+$F9-1,IF(WEEKDAY($E9+$F9,2)=7,$E9+$F9-2,$E9+$F9))</f>
      </c>
      <c r="H9" s="40">
        <f>'3. Expenses'!$C$7</f>
      </c>
      <c r="I9" s="41">
        <f>12/52</f>
      </c>
      <c r="J9" s="43">
        <f>ROUND($H9*$I9,2)</f>
      </c>
    </row>
    <row r="10" spans="2:10" x14ac:dyDescent="0.25">
      <c r="B10" s="34">
        <f>'3. Expenses'!$A$7</f>
      </c>
      <c r="C10" s="35">
        <f>'3. Expenses'!$B$7</f>
      </c>
      <c r="D10" s="36" t="s">
        <v>94</v>
      </c>
      <c r="E10" s="37">
        <v>46272</v>
      </c>
      <c r="F10" s="38">
        <v>0</v>
      </c>
      <c r="G10" s="39">
        <f>IF(WEEKDAY($E10+$F10,2)=6,$E10+$F10-1,IF(WEEKDAY($E10+$F10,2)=7,$E10+$F10-2,$E10+$F10))</f>
      </c>
      <c r="H10" s="40">
        <f>'3. Expenses'!$C$7</f>
      </c>
      <c r="I10" s="41">
        <f>12/52</f>
      </c>
      <c r="J10" s="43">
        <f>ROUND($H10*$I10,2)</f>
      </c>
    </row>
    <row r="11" spans="2:10" x14ac:dyDescent="0.25">
      <c r="B11" s="34">
        <f>'3. Expenses'!$A$7</f>
      </c>
      <c r="C11" s="35">
        <f>'3. Expenses'!$B$7</f>
      </c>
      <c r="D11" s="36" t="s">
        <v>94</v>
      </c>
      <c r="E11" s="37">
        <v>46279</v>
      </c>
      <c r="F11" s="38">
        <v>0</v>
      </c>
      <c r="G11" s="39">
        <f>IF(WEEKDAY($E11+$F11,2)=6,$E11+$F11-1,IF(WEEKDAY($E11+$F11,2)=7,$E11+$F11-2,$E11+$F11))</f>
      </c>
      <c r="H11" s="40">
        <f>'3. Expenses'!$C$7</f>
      </c>
      <c r="I11" s="41">
        <f>12/52</f>
      </c>
      <c r="J11" s="43">
        <f>ROUND($H11*$I11,2)</f>
      </c>
    </row>
    <row r="12" spans="2:10" x14ac:dyDescent="0.25">
      <c r="B12" s="34">
        <f>'3. Expenses'!$A$7</f>
      </c>
      <c r="C12" s="35">
        <f>'3. Expenses'!$B$7</f>
      </c>
      <c r="D12" s="36" t="s">
        <v>94</v>
      </c>
      <c r="E12" s="37">
        <v>46286</v>
      </c>
      <c r="F12" s="38">
        <v>0</v>
      </c>
      <c r="G12" s="39">
        <f>IF(WEEKDAY($E12+$F12,2)=6,$E12+$F12-1,IF(WEEKDAY($E12+$F12,2)=7,$E12+$F12-2,$E12+$F12))</f>
      </c>
      <c r="H12" s="40">
        <f>'3. Expenses'!$C$7</f>
      </c>
      <c r="I12" s="41">
        <f>12/52</f>
      </c>
      <c r="J12" s="43">
        <f>ROUND($H12*$I12,2)</f>
      </c>
    </row>
    <row r="13" spans="2:10" x14ac:dyDescent="0.25">
      <c r="B13" s="34">
        <f>'3. Expenses'!$A$7</f>
      </c>
      <c r="C13" s="35">
        <f>'3. Expenses'!$B$7</f>
      </c>
      <c r="D13" s="36" t="s">
        <v>94</v>
      </c>
      <c r="E13" s="37">
        <v>46293</v>
      </c>
      <c r="F13" s="38">
        <v>0</v>
      </c>
      <c r="G13" s="39">
        <f>IF(WEEKDAY($E13+$F13,2)=6,$E13+$F13-1,IF(WEEKDAY($E13+$F13,2)=7,$E13+$F13-2,$E13+$F13))</f>
      </c>
      <c r="H13" s="40">
        <f>'3. Expenses'!$C$7</f>
      </c>
      <c r="I13" s="41">
        <f>12/52</f>
      </c>
      <c r="J13" s="43">
        <f>ROUND($H13*$I13,2)</f>
      </c>
    </row>
    <row r="14" spans="2:10" x14ac:dyDescent="0.25">
      <c r="B14" s="34">
        <f>'3. Expenses'!$A$7</f>
      </c>
      <c r="C14" s="35">
        <f>'3. Expenses'!$B$7</f>
      </c>
      <c r="D14" s="36" t="s">
        <v>94</v>
      </c>
      <c r="E14" s="37">
        <v>46300</v>
      </c>
      <c r="F14" s="38">
        <v>0</v>
      </c>
      <c r="G14" s="39">
        <f>IF(WEEKDAY($E14+$F14,2)=6,$E14+$F14-1,IF(WEEKDAY($E14+$F14,2)=7,$E14+$F14-2,$E14+$F14))</f>
      </c>
      <c r="H14" s="40">
        <f>'3. Expenses'!$C$7</f>
      </c>
      <c r="I14" s="41">
        <f>12/52</f>
      </c>
      <c r="J14" s="43">
        <f>ROUND($H14*$I14,2)</f>
      </c>
    </row>
    <row r="15" spans="2:10" x14ac:dyDescent="0.25">
      <c r="B15" s="34">
        <f>'3. Expenses'!$A$7</f>
      </c>
      <c r="C15" s="35">
        <f>'3. Expenses'!$B$7</f>
      </c>
      <c r="D15" s="36" t="s">
        <v>94</v>
      </c>
      <c r="E15" s="37">
        <v>46307</v>
      </c>
      <c r="F15" s="38">
        <v>0</v>
      </c>
      <c r="G15" s="39">
        <f>IF(WEEKDAY($E15+$F15,2)=6,$E15+$F15-1,IF(WEEKDAY($E15+$F15,2)=7,$E15+$F15-2,$E15+$F15))</f>
      </c>
      <c r="H15" s="40">
        <f>'3. Expenses'!$C$7</f>
      </c>
      <c r="I15" s="41">
        <f>12/52</f>
      </c>
      <c r="J15" s="43">
        <f>ROUND($H15*$I15,2)</f>
      </c>
    </row>
    <row r="16" spans="2:10" x14ac:dyDescent="0.25">
      <c r="B16" s="34">
        <f>'3. Expenses'!$A$7</f>
      </c>
      <c r="C16" s="35">
        <f>'3. Expenses'!$B$7</f>
      </c>
      <c r="D16" s="36" t="s">
        <v>94</v>
      </c>
      <c r="E16" s="37">
        <v>46314</v>
      </c>
      <c r="F16" s="38">
        <v>0</v>
      </c>
      <c r="G16" s="39">
        <f>IF(WEEKDAY($E16+$F16,2)=6,$E16+$F16-1,IF(WEEKDAY($E16+$F16,2)=7,$E16+$F16-2,$E16+$F16))</f>
      </c>
      <c r="H16" s="40">
        <f>'3. Expenses'!$C$7</f>
      </c>
      <c r="I16" s="41">
        <f>12/52</f>
      </c>
      <c r="J16" s="43">
        <f>ROUND($H16*$I16,2)</f>
      </c>
    </row>
    <row r="17" spans="2:10" x14ac:dyDescent="0.25">
      <c r="B17" s="34">
        <f>'3. Expenses'!$A$7</f>
      </c>
      <c r="C17" s="35">
        <f>'3. Expenses'!$B$7</f>
      </c>
      <c r="D17" s="36" t="s">
        <v>94</v>
      </c>
      <c r="E17" s="37">
        <v>46321</v>
      </c>
      <c r="F17" s="38">
        <v>0</v>
      </c>
      <c r="G17" s="39">
        <f>IF(WEEKDAY($E17+$F17,2)=6,$E17+$F17-1,IF(WEEKDAY($E17+$F17,2)=7,$E17+$F17-2,$E17+$F17))</f>
      </c>
      <c r="H17" s="40">
        <f>'3. Expenses'!$C$7</f>
      </c>
      <c r="I17" s="41">
        <f>12/52</f>
      </c>
      <c r="J17" s="43">
        <f>ROUND($H17*$I17,2)</f>
      </c>
    </row>
    <row r="18" spans="2:10" x14ac:dyDescent="0.25">
      <c r="B18" s="34">
        <f>'3. Expenses'!$A$7</f>
      </c>
      <c r="C18" s="35">
        <f>'3. Expenses'!$B$7</f>
      </c>
      <c r="D18" s="36" t="s">
        <v>94</v>
      </c>
      <c r="E18" s="37">
        <v>46328</v>
      </c>
      <c r="F18" s="38">
        <v>0</v>
      </c>
      <c r="G18" s="39">
        <f>IF(WEEKDAY($E18+$F18,2)=6,$E18+$F18-1,IF(WEEKDAY($E18+$F18,2)=7,$E18+$F18-2,$E18+$F18))</f>
      </c>
      <c r="H18" s="40">
        <f>'3. Expenses'!$C$7</f>
      </c>
      <c r="I18" s="41">
        <f>12/52</f>
      </c>
      <c r="J18" s="43">
        <f>ROUND($H18*$I18,2)</f>
      </c>
    </row>
    <row r="19" spans="2:10" x14ac:dyDescent="0.25">
      <c r="B19" s="44">
        <f>'3. Expenses'!$A$8</f>
      </c>
      <c r="C19" s="45">
        <f>'3. Expenses'!$B$8</f>
      </c>
      <c r="D19" s="25" t="s">
        <v>95</v>
      </c>
      <c r="E19" s="46">
        <v>46235</v>
      </c>
      <c r="F19" s="28">
        <v>0</v>
      </c>
      <c r="G19" s="47">
        <f>IF(WEEKDAY($E19+$F19,2)=6,$E19+$F19-1,IF(WEEKDAY($E19+$F19,2)=7,$E19+$F19-2,$E19+$F19))</f>
      </c>
      <c r="H19" s="48">
        <f>'3. Expenses'!$C$8</f>
      </c>
      <c r="I19" s="49">
        <f>0.5</f>
      </c>
      <c r="J19" s="50">
        <f>ROUND($H19*$I19,2)</f>
      </c>
    </row>
    <row r="20" spans="2:10" x14ac:dyDescent="0.25">
      <c r="B20" s="44">
        <f>'3. Expenses'!$A$8</f>
      </c>
      <c r="C20" s="45">
        <f>'3. Expenses'!$B$8</f>
      </c>
      <c r="D20" s="25" t="s">
        <v>96</v>
      </c>
      <c r="E20" s="46">
        <v>46249</v>
      </c>
      <c r="F20" s="28">
        <v>0</v>
      </c>
      <c r="G20" s="47">
        <f>IF(WEEKDAY($E20+$F20,2)=6,$E20+$F20-1,IF(WEEKDAY($E20+$F20,2)=7,$E20+$F20-2,$E20+$F20))</f>
      </c>
      <c r="H20" s="48">
        <f>'3. Expenses'!$C$8</f>
      </c>
      <c r="I20" s="49">
        <f>0.5</f>
      </c>
      <c r="J20" s="50">
        <f>ROUND($H20*$I20,2)</f>
      </c>
    </row>
    <row r="21" spans="2:10" x14ac:dyDescent="0.25">
      <c r="B21" s="44">
        <f>'3. Expenses'!$A$8</f>
      </c>
      <c r="C21" s="45">
        <f>'3. Expenses'!$B$8</f>
      </c>
      <c r="D21" s="25" t="s">
        <v>95</v>
      </c>
      <c r="E21" s="46">
        <v>46266</v>
      </c>
      <c r="F21" s="28">
        <v>0</v>
      </c>
      <c r="G21" s="47">
        <f>IF(WEEKDAY($E21+$F21,2)=6,$E21+$F21-1,IF(WEEKDAY($E21+$F21,2)=7,$E21+$F21-2,$E21+$F21))</f>
      </c>
      <c r="H21" s="48">
        <f>'3. Expenses'!$C$8</f>
      </c>
      <c r="I21" s="49">
        <f>0.5</f>
      </c>
      <c r="J21" s="50">
        <f>ROUND($H21*$I21,2)</f>
      </c>
    </row>
    <row r="22" spans="2:10" x14ac:dyDescent="0.25">
      <c r="B22" s="44">
        <f>'3. Expenses'!$A$8</f>
      </c>
      <c r="C22" s="45">
        <f>'3. Expenses'!$B$8</f>
      </c>
      <c r="D22" s="25" t="s">
        <v>96</v>
      </c>
      <c r="E22" s="46">
        <v>46280</v>
      </c>
      <c r="F22" s="28">
        <v>0</v>
      </c>
      <c r="G22" s="47">
        <f>IF(WEEKDAY($E22+$F22,2)=6,$E22+$F22-1,IF(WEEKDAY($E22+$F22,2)=7,$E22+$F22-2,$E22+$F22))</f>
      </c>
      <c r="H22" s="48">
        <f>'3. Expenses'!$C$8</f>
      </c>
      <c r="I22" s="49">
        <f>0.5</f>
      </c>
      <c r="J22" s="50">
        <f>ROUND($H22*$I22,2)</f>
      </c>
    </row>
    <row r="23" spans="2:10" x14ac:dyDescent="0.25">
      <c r="B23" s="44">
        <f>'3. Expenses'!$A$8</f>
      </c>
      <c r="C23" s="45">
        <f>'3. Expenses'!$B$8</f>
      </c>
      <c r="D23" s="25" t="s">
        <v>95</v>
      </c>
      <c r="E23" s="46">
        <v>46296</v>
      </c>
      <c r="F23" s="28">
        <v>0</v>
      </c>
      <c r="G23" s="47">
        <f>IF(WEEKDAY($E23+$F23,2)=6,$E23+$F23-1,IF(WEEKDAY($E23+$F23,2)=7,$E23+$F23-2,$E23+$F23))</f>
      </c>
      <c r="H23" s="48">
        <f>'3. Expenses'!$C$8</f>
      </c>
      <c r="I23" s="49">
        <f>0.5</f>
      </c>
      <c r="J23" s="50">
        <f>ROUND($H23*$I23,2)</f>
      </c>
    </row>
    <row r="24" spans="2:10" x14ac:dyDescent="0.25">
      <c r="B24" s="44">
        <f>'3. Expenses'!$A$8</f>
      </c>
      <c r="C24" s="45">
        <f>'3. Expenses'!$B$8</f>
      </c>
      <c r="D24" s="25" t="s">
        <v>96</v>
      </c>
      <c r="E24" s="46">
        <v>46310</v>
      </c>
      <c r="F24" s="28">
        <v>0</v>
      </c>
      <c r="G24" s="47">
        <f>IF(WEEKDAY($E24+$F24,2)=6,$E24+$F24-1,IF(WEEKDAY($E24+$F24,2)=7,$E24+$F24-2,$E24+$F24))</f>
      </c>
      <c r="H24" s="48">
        <f>'3. Expenses'!$C$8</f>
      </c>
      <c r="I24" s="49">
        <f>0.5</f>
      </c>
      <c r="J24" s="50">
        <f>ROUND($H24*$I24,2)</f>
      </c>
    </row>
    <row r="25" spans="2:10" x14ac:dyDescent="0.25">
      <c r="B25" s="44">
        <f>'3. Expenses'!$A$8</f>
      </c>
      <c r="C25" s="45">
        <f>'3. Expenses'!$B$8</f>
      </c>
      <c r="D25" s="25" t="s">
        <v>95</v>
      </c>
      <c r="E25" s="46">
        <v>46327</v>
      </c>
      <c r="F25" s="28">
        <v>0</v>
      </c>
      <c r="G25" s="47">
        <f>IF(WEEKDAY($E25+$F25,2)=6,$E25+$F25-1,IF(WEEKDAY($E25+$F25,2)=7,$E25+$F25-2,$E25+$F25))</f>
      </c>
      <c r="H25" s="48">
        <f>'3. Expenses'!$C$8</f>
      </c>
      <c r="I25" s="49">
        <f>0.5</f>
      </c>
      <c r="J25" s="50">
        <f>ROUND($H25*$I25,2)</f>
      </c>
    </row>
    <row r="26" spans="2:10" x14ac:dyDescent="0.25">
      <c r="B26" s="44">
        <f>'3. Expenses'!$A$8</f>
      </c>
      <c r="C26" s="45">
        <f>'3. Expenses'!$B$8</f>
      </c>
      <c r="D26" s="25" t="s">
        <v>96</v>
      </c>
      <c r="E26" s="46">
        <v>46341</v>
      </c>
      <c r="F26" s="28">
        <v>0</v>
      </c>
      <c r="G26" s="47">
        <f>IF(WEEKDAY($E26+$F26,2)=6,$E26+$F26-1,IF(WEEKDAY($E26+$F26,2)=7,$E26+$F26-2,$E26+$F26))</f>
      </c>
      <c r="H26" s="48">
        <f>'3. Expenses'!$C$8</f>
      </c>
      <c r="I26" s="49">
        <f>0.5</f>
      </c>
      <c r="J26" s="50">
        <f>ROUND($H26*$I26,2)</f>
      </c>
    </row>
    <row r="27" spans="2:10" x14ac:dyDescent="0.25">
      <c r="B27" s="34">
        <f>'3. Expenses'!$A$9</f>
      </c>
      <c r="C27" s="35">
        <f>'3. Expenses'!$B$9</f>
      </c>
      <c r="D27" s="36" t="s">
        <v>97</v>
      </c>
      <c r="E27" s="37">
        <v>46234</v>
      </c>
      <c r="F27" s="38">
        <v>5</v>
      </c>
      <c r="G27" s="39">
        <f>IF(WEEKDAY($E27+$F27,2)=6,$E27+$F27-1,IF(WEEKDAY($E27+$F27,2)=7,$E27+$F27-2,$E27+$F27))</f>
      </c>
      <c r="H27" s="40">
        <f>'3. Expenses'!$C$9</f>
      </c>
      <c r="I27" s="41">
        <f>1</f>
      </c>
      <c r="J27" s="43">
        <f>ROUND($H27*$I27,2)</f>
      </c>
    </row>
    <row r="28" spans="2:10" x14ac:dyDescent="0.25">
      <c r="B28" s="34">
        <f>'3. Expenses'!$A$9</f>
      </c>
      <c r="C28" s="35">
        <f>'3. Expenses'!$B$9</f>
      </c>
      <c r="D28" s="36" t="s">
        <v>97</v>
      </c>
      <c r="E28" s="37">
        <v>46265</v>
      </c>
      <c r="F28" s="38">
        <v>5</v>
      </c>
      <c r="G28" s="39">
        <f>IF(WEEKDAY($E28+$F28,2)=6,$E28+$F28-1,IF(WEEKDAY($E28+$F28,2)=7,$E28+$F28-2,$E28+$F28))</f>
      </c>
      <c r="H28" s="40">
        <f>'3. Expenses'!$C$9</f>
      </c>
      <c r="I28" s="41">
        <f>1</f>
      </c>
      <c r="J28" s="43">
        <f>ROUND($H28*$I28,2)</f>
      </c>
    </row>
    <row r="29" spans="2:10" x14ac:dyDescent="0.25">
      <c r="B29" s="34">
        <f>'3. Expenses'!$A$9</f>
      </c>
      <c r="C29" s="35">
        <f>'3. Expenses'!$B$9</f>
      </c>
      <c r="D29" s="36" t="s">
        <v>97</v>
      </c>
      <c r="E29" s="37">
        <v>46295</v>
      </c>
      <c r="F29" s="38">
        <v>5</v>
      </c>
      <c r="G29" s="39">
        <f>IF(WEEKDAY($E29+$F29,2)=6,$E29+$F29-1,IF(WEEKDAY($E29+$F29,2)=7,$E29+$F29-2,$E29+$F29))</f>
      </c>
      <c r="H29" s="40">
        <f>'3. Expenses'!$C$9</f>
      </c>
      <c r="I29" s="41">
        <f>1</f>
      </c>
      <c r="J29" s="43">
        <f>ROUND($H29*$I29,2)</f>
      </c>
    </row>
    <row r="30" spans="2:10" x14ac:dyDescent="0.25">
      <c r="B30" s="34">
        <f>'3. Expenses'!$A$9</f>
      </c>
      <c r="C30" s="35">
        <f>'3. Expenses'!$B$9</f>
      </c>
      <c r="D30" s="36" t="s">
        <v>97</v>
      </c>
      <c r="E30" s="37">
        <v>46326</v>
      </c>
      <c r="F30" s="38">
        <v>5</v>
      </c>
      <c r="G30" s="39">
        <f>IF(WEEKDAY($E30+$F30,2)=6,$E30+$F30-1,IF(WEEKDAY($E30+$F30,2)=7,$E30+$F30-2,$E30+$F30))</f>
      </c>
      <c r="H30" s="40">
        <f>'3. Expenses'!$C$9</f>
      </c>
      <c r="I30" s="41">
        <f>1</f>
      </c>
      <c r="J30" s="43">
        <f>ROUND($H30*$I30,2)</f>
      </c>
    </row>
    <row r="31" spans="2:10" x14ac:dyDescent="0.25">
      <c r="B31" s="44">
        <f>'3. Expenses'!$A$10</f>
      </c>
      <c r="C31" s="45">
        <f>'3. Expenses'!$B$10</f>
      </c>
      <c r="D31" s="25" t="s">
        <v>98</v>
      </c>
      <c r="E31" s="46">
        <v>46234</v>
      </c>
      <c r="F31" s="28">
        <v>30</v>
      </c>
      <c r="G31" s="47">
        <f>IF(WEEKDAY($E31+$F31,2)=6,$E31+$F31-1,IF(WEEKDAY($E31+$F31,2)=7,$E31+$F31-2,$E31+$F31))</f>
      </c>
      <c r="H31" s="48">
        <f>'3. Expenses'!$C$10</f>
      </c>
      <c r="I31" s="49">
        <f>1</f>
      </c>
      <c r="J31" s="50">
        <f>ROUND($H31*$I31,2)</f>
      </c>
    </row>
    <row r="32" spans="2:10" x14ac:dyDescent="0.25">
      <c r="B32" s="44">
        <f>'3. Expenses'!$A$10</f>
      </c>
      <c r="C32" s="45">
        <f>'3. Expenses'!$B$10</f>
      </c>
      <c r="D32" s="25" t="s">
        <v>98</v>
      </c>
      <c r="E32" s="46">
        <v>46265</v>
      </c>
      <c r="F32" s="28">
        <v>30</v>
      </c>
      <c r="G32" s="47">
        <f>IF(WEEKDAY($E32+$F32,2)=6,$E32+$F32-1,IF(WEEKDAY($E32+$F32,2)=7,$E32+$F32-2,$E32+$F32))</f>
      </c>
      <c r="H32" s="48">
        <f>'3. Expenses'!$C$10</f>
      </c>
      <c r="I32" s="49">
        <f>1</f>
      </c>
      <c r="J32" s="50">
        <f>ROUND($H32*$I32,2)</f>
      </c>
    </row>
    <row r="33" spans="2:10" x14ac:dyDescent="0.25">
      <c r="B33" s="44">
        <f>'3. Expenses'!$A$10</f>
      </c>
      <c r="C33" s="45">
        <f>'3. Expenses'!$B$10</f>
      </c>
      <c r="D33" s="25" t="s">
        <v>98</v>
      </c>
      <c r="E33" s="46">
        <v>46295</v>
      </c>
      <c r="F33" s="28">
        <v>30</v>
      </c>
      <c r="G33" s="47">
        <f>IF(WEEKDAY($E33+$F33,2)=6,$E33+$F33-1,IF(WEEKDAY($E33+$F33,2)=7,$E33+$F33-2,$E33+$F33))</f>
      </c>
      <c r="H33" s="48">
        <f>'3. Expenses'!$C$10</f>
      </c>
      <c r="I33" s="49">
        <f>1</f>
      </c>
      <c r="J33" s="50">
        <f>ROUND($H33*$I33,2)</f>
      </c>
    </row>
    <row r="34" spans="2:10" x14ac:dyDescent="0.25">
      <c r="B34" s="44">
        <f>'3. Expenses'!$A$10</f>
      </c>
      <c r="C34" s="45">
        <f>'3. Expenses'!$B$10</f>
      </c>
      <c r="D34" s="25" t="s">
        <v>98</v>
      </c>
      <c r="E34" s="46">
        <v>46326</v>
      </c>
      <c r="F34" s="28">
        <v>30</v>
      </c>
      <c r="G34" s="47">
        <f>IF(WEEKDAY($E34+$F34,2)=6,$E34+$F34-1,IF(WEEKDAY($E34+$F34,2)=7,$E34+$F34-2,$E34+$F34))</f>
      </c>
      <c r="H34" s="48">
        <f>'3. Expenses'!$C$10</f>
      </c>
      <c r="I34" s="49">
        <f>1</f>
      </c>
      <c r="J34" s="50">
        <f>ROUND($H34*$I34,2)</f>
      </c>
    </row>
    <row r="35" spans="2:10" x14ac:dyDescent="0.25">
      <c r="B35" s="34">
        <f>'3. Expenses'!$A$11</f>
      </c>
      <c r="C35" s="35">
        <f>'3. Expenses'!$B$11</f>
      </c>
      <c r="D35" s="36" t="s">
        <v>99</v>
      </c>
      <c r="E35" s="37">
        <v>46235</v>
      </c>
      <c r="F35" s="38">
        <v>0</v>
      </c>
      <c r="G35" s="39">
        <f>IF(WEEKDAY($E35+$F35,2)=6,$E35+$F35-1,IF(WEEKDAY($E35+$F35,2)=7,$E35+$F35-2,$E35+$F35))</f>
      </c>
      <c r="H35" s="40">
        <f>'3. Expenses'!$C$11</f>
      </c>
      <c r="I35" s="41">
        <f>1</f>
      </c>
      <c r="J35" s="43">
        <f>ROUND($H35*$I35,2)</f>
      </c>
    </row>
    <row r="36" spans="2:10" x14ac:dyDescent="0.25">
      <c r="B36" s="34">
        <f>'3. Expenses'!$A$11</f>
      </c>
      <c r="C36" s="35">
        <f>'3. Expenses'!$B$11</f>
      </c>
      <c r="D36" s="36" t="s">
        <v>99</v>
      </c>
      <c r="E36" s="37">
        <v>46266</v>
      </c>
      <c r="F36" s="38">
        <v>0</v>
      </c>
      <c r="G36" s="39">
        <f>IF(WEEKDAY($E36+$F36,2)=6,$E36+$F36-1,IF(WEEKDAY($E36+$F36,2)=7,$E36+$F36-2,$E36+$F36))</f>
      </c>
      <c r="H36" s="40">
        <f>'3. Expenses'!$C$11</f>
      </c>
      <c r="I36" s="41">
        <f>1</f>
      </c>
      <c r="J36" s="43">
        <f>ROUND($H36*$I36,2)</f>
      </c>
    </row>
    <row r="37" spans="2:10" x14ac:dyDescent="0.25">
      <c r="B37" s="34">
        <f>'3. Expenses'!$A$11</f>
      </c>
      <c r="C37" s="35">
        <f>'3. Expenses'!$B$11</f>
      </c>
      <c r="D37" s="36" t="s">
        <v>99</v>
      </c>
      <c r="E37" s="37">
        <v>46296</v>
      </c>
      <c r="F37" s="38">
        <v>0</v>
      </c>
      <c r="G37" s="39">
        <f>IF(WEEKDAY($E37+$F37,2)=6,$E37+$F37-1,IF(WEEKDAY($E37+$F37,2)=7,$E37+$F37-2,$E37+$F37))</f>
      </c>
      <c r="H37" s="40">
        <f>'3. Expenses'!$C$11</f>
      </c>
      <c r="I37" s="41">
        <f>1</f>
      </c>
      <c r="J37" s="43">
        <f>ROUND($H37*$I37,2)</f>
      </c>
    </row>
    <row r="38" spans="2:10" x14ac:dyDescent="0.25">
      <c r="B38" s="34">
        <f>'3. Expenses'!$A$11</f>
      </c>
      <c r="C38" s="35">
        <f>'3. Expenses'!$B$11</f>
      </c>
      <c r="D38" s="36" t="s">
        <v>99</v>
      </c>
      <c r="E38" s="37">
        <v>46327</v>
      </c>
      <c r="F38" s="38">
        <v>0</v>
      </c>
      <c r="G38" s="39">
        <f>IF(WEEKDAY($E38+$F38,2)=6,$E38+$F38-1,IF(WEEKDAY($E38+$F38,2)=7,$E38+$F38-2,$E38+$F38))</f>
      </c>
      <c r="H38" s="40">
        <f>'3. Expenses'!$C$11</f>
      </c>
      <c r="I38" s="41">
        <f>1</f>
      </c>
      <c r="J38" s="43">
        <f>ROUND($H38*$I38,2)</f>
      </c>
    </row>
    <row r="39" spans="2:10" x14ac:dyDescent="0.25">
      <c r="B39" s="44">
        <f>'3. Expenses'!$A$12</f>
      </c>
      <c r="C39" s="45">
        <f>'3. Expenses'!$B$12</f>
      </c>
      <c r="D39" s="25" t="s">
        <v>100</v>
      </c>
      <c r="E39" s="46">
        <v>46249</v>
      </c>
      <c r="F39" s="28">
        <v>0</v>
      </c>
      <c r="G39" s="47">
        <f>IF(WEEKDAY($E39+$F39,2)=6,$E39+$F39-1,IF(WEEKDAY($E39+$F39,2)=7,$E39+$F39-2,$E39+$F39))</f>
      </c>
      <c r="H39" s="48">
        <f>'3. Expenses'!$C$12</f>
      </c>
      <c r="I39" s="49">
        <f>1</f>
      </c>
      <c r="J39" s="50">
        <f>ROUND($H39*$I39,2)</f>
      </c>
    </row>
    <row r="40" spans="2:10" x14ac:dyDescent="0.25">
      <c r="B40" s="44">
        <f>'3. Expenses'!$A$12</f>
      </c>
      <c r="C40" s="45">
        <f>'3. Expenses'!$B$12</f>
      </c>
      <c r="D40" s="25" t="s">
        <v>100</v>
      </c>
      <c r="E40" s="46">
        <v>46280</v>
      </c>
      <c r="F40" s="28">
        <v>0</v>
      </c>
      <c r="G40" s="47">
        <f>IF(WEEKDAY($E40+$F40,2)=6,$E40+$F40-1,IF(WEEKDAY($E40+$F40,2)=7,$E40+$F40-2,$E40+$F40))</f>
      </c>
      <c r="H40" s="48">
        <f>'3. Expenses'!$C$12</f>
      </c>
      <c r="I40" s="49">
        <f>1</f>
      </c>
      <c r="J40" s="50">
        <f>ROUND($H40*$I40,2)</f>
      </c>
    </row>
    <row r="41" spans="2:10" x14ac:dyDescent="0.25">
      <c r="B41" s="44">
        <f>'3. Expenses'!$A$12</f>
      </c>
      <c r="C41" s="45">
        <f>'3. Expenses'!$B$12</f>
      </c>
      <c r="D41" s="25" t="s">
        <v>100</v>
      </c>
      <c r="E41" s="46">
        <v>46310</v>
      </c>
      <c r="F41" s="28">
        <v>0</v>
      </c>
      <c r="G41" s="47">
        <f>IF(WEEKDAY($E41+$F41,2)=6,$E41+$F41-1,IF(WEEKDAY($E41+$F41,2)=7,$E41+$F41-2,$E41+$F41))</f>
      </c>
      <c r="H41" s="48">
        <f>'3. Expenses'!$C$12</f>
      </c>
      <c r="I41" s="49">
        <f>1</f>
      </c>
      <c r="J41" s="50">
        <f>ROUND($H41*$I41,2)</f>
      </c>
    </row>
    <row r="42" spans="2:10" x14ac:dyDescent="0.25">
      <c r="B42" s="44">
        <f>'3. Expenses'!$A$12</f>
      </c>
      <c r="C42" s="45">
        <f>'3. Expenses'!$B$12</f>
      </c>
      <c r="D42" s="25" t="s">
        <v>100</v>
      </c>
      <c r="E42" s="46">
        <v>46341</v>
      </c>
      <c r="F42" s="28">
        <v>0</v>
      </c>
      <c r="G42" s="47">
        <f>IF(WEEKDAY($E42+$F42,2)=6,$E42+$F42-1,IF(WEEKDAY($E42+$F42,2)=7,$E42+$F42-2,$E42+$F42))</f>
      </c>
      <c r="H42" s="48">
        <f>'3. Expenses'!$C$12</f>
      </c>
      <c r="I42" s="49">
        <f>1</f>
      </c>
      <c r="J42" s="50">
        <f>ROUND($H42*$I42,2)</f>
      </c>
    </row>
    <row r="43" spans="4:10" x14ac:dyDescent="0.25">
      <c r="D43" s="10" t="s">
        <v>78</v>
      </c>
      <c r="J43" s="19">
        <f>SUM(J4:J42)</f>
      </c>
    </row>
    <row r="44" spans="4:10" x14ac:dyDescent="0.25">
      <c r="D44" s="51" t="s">
        <v>79</v>
      </c>
      <c r="J44" s="52">
        <f>SUMIFS($J$4:$J$42,$G$4:$G$42,"&gt;="&amp;'Rolling Cash Flow Projection'!$C$12,$G$4:$G$42,"&lt;="&amp;'Rolling Cash Flow Projection'!$O$13)</f>
      </c>
    </row>
    <row r="46" spans="2:2" x14ac:dyDescent="0.25">
      <c r="B46" s="3" t="s">
        <v>101</v>
      </c>
    </row>
    <row r="47" ht="30" customHeight="1" spans="2:7" x14ac:dyDescent="0.25">
      <c r="B47" s="33" t="s">
        <v>88</v>
      </c>
      <c r="C47" s="33" t="s">
        <v>91</v>
      </c>
      <c r="D47" s="33" t="s">
        <v>102</v>
      </c>
      <c r="E47" s="33" t="s">
        <v>103</v>
      </c>
      <c r="F47" s="33" t="s">
        <v>104</v>
      </c>
      <c r="G47" s="33" t="s">
        <v>38</v>
      </c>
    </row>
    <row r="48" spans="2:7" x14ac:dyDescent="0.25">
      <c r="B48" s="44">
        <f>'3. Expenses'!$A$6</f>
      </c>
      <c r="C48" s="48">
        <f>'3. Expenses'!$C$6</f>
      </c>
      <c r="D48" s="49">
        <f>INDEX($I$4:$I$42,MATCH($B48,$B$4:$B$42,0))</f>
      </c>
      <c r="E48" s="54">
        <f>1/3</f>
      </c>
      <c r="F48" s="49">
        <f>$D48*$E48</f>
      </c>
      <c r="G48" s="27">
        <f>IF(ABS($F48-1)&lt;0.001,"OK","ERROR")</f>
      </c>
    </row>
    <row r="49" spans="2:7" x14ac:dyDescent="0.25">
      <c r="B49" s="44">
        <f>'3. Expenses'!$A$7</f>
      </c>
      <c r="C49" s="48">
        <f>'3. Expenses'!$C$7</f>
      </c>
      <c r="D49" s="49">
        <f>INDEX($I$4:$I$42,MATCH($B49,$B$4:$B$42,0))</f>
      </c>
      <c r="E49" s="54">
        <f>52/12</f>
      </c>
      <c r="F49" s="49">
        <f>$D49*$E49</f>
      </c>
      <c r="G49" s="27">
        <f>IF(ABS($F49-1)&lt;0.001,"OK","ERROR")</f>
      </c>
    </row>
    <row r="50" spans="2:7" x14ac:dyDescent="0.25">
      <c r="B50" s="44">
        <f>'3. Expenses'!$A$8</f>
      </c>
      <c r="C50" s="48">
        <f>'3. Expenses'!$C$8</f>
      </c>
      <c r="D50" s="49">
        <f>INDEX($I$4:$I$42,MATCH($B50,$B$4:$B$42,0))</f>
      </c>
      <c r="E50" s="54">
        <f>2</f>
      </c>
      <c r="F50" s="49">
        <f>$D50*$E50</f>
      </c>
      <c r="G50" s="27">
        <f>IF(ABS($F50-1)&lt;0.001,"OK","ERROR")</f>
      </c>
    </row>
    <row r="51" spans="2:7" x14ac:dyDescent="0.25">
      <c r="B51" s="44">
        <f>'3. Expenses'!$A$9</f>
      </c>
      <c r="C51" s="48">
        <f>'3. Expenses'!$C$9</f>
      </c>
      <c r="D51" s="49">
        <f>INDEX($I$4:$I$42,MATCH($B51,$B$4:$B$42,0))</f>
      </c>
      <c r="E51" s="54">
        <f>1</f>
      </c>
      <c r="F51" s="49">
        <f>$D51*$E51</f>
      </c>
      <c r="G51" s="27">
        <f>IF(ABS($F51-1)&lt;0.001,"OK","ERROR")</f>
      </c>
    </row>
    <row r="52" spans="2:7" x14ac:dyDescent="0.25">
      <c r="B52" s="44">
        <f>'3. Expenses'!$A$10</f>
      </c>
      <c r="C52" s="48">
        <f>'3. Expenses'!$C$10</f>
      </c>
      <c r="D52" s="49">
        <f>INDEX($I$4:$I$42,MATCH($B52,$B$4:$B$42,0))</f>
      </c>
      <c r="E52" s="54">
        <f>1</f>
      </c>
      <c r="F52" s="49">
        <f>$D52*$E52</f>
      </c>
      <c r="G52" s="27">
        <f>IF(ABS($F52-1)&lt;0.001,"OK","ERROR")</f>
      </c>
    </row>
    <row r="53" spans="2:7" x14ac:dyDescent="0.25">
      <c r="B53" s="44">
        <f>'3. Expenses'!$A$11</f>
      </c>
      <c r="C53" s="48">
        <f>'3. Expenses'!$C$11</f>
      </c>
      <c r="D53" s="49">
        <f>INDEX($I$4:$I$42,MATCH($B53,$B$4:$B$42,0))</f>
      </c>
      <c r="E53" s="54">
        <f>1</f>
      </c>
      <c r="F53" s="49">
        <f>$D53*$E53</f>
      </c>
      <c r="G53" s="27">
        <f>IF(ABS($F53-1)&lt;0.001,"OK","ERROR")</f>
      </c>
    </row>
    <row r="54" spans="2:7" x14ac:dyDescent="0.25">
      <c r="B54" s="44">
        <f>'3. Expenses'!$A$12</f>
      </c>
      <c r="C54" s="48">
        <f>'3. Expenses'!$C$12</f>
      </c>
      <c r="D54" s="49">
        <f>INDEX($I$4:$I$42,MATCH($B54,$B$4:$B$42,0))</f>
      </c>
      <c r="E54" s="54">
        <f>1</f>
      </c>
      <c r="F54" s="49">
        <f>$D54*$E54</f>
      </c>
      <c r="G54" s="27">
        <f>IF(ABS($F54-1)&lt;0.001,"OK","ERROR")</f>
      </c>
    </row>
    <row r="55" spans="2:7" x14ac:dyDescent="0.25">
      <c r="B55" s="10" t="s">
        <v>105</v>
      </c>
      <c r="G55" s="27">
        <f>COUNTIF($G$48:$G$54,"ERROR")</f>
      </c>
    </row>
  </sheetData>
  <pageMargins left="0.7" right="0.7" top="0.75" bottom="0.75" header="0.3" footer="0.3"/>
  <pageSetup orientation="landscape" horizontalDpi="4294967295" verticalDpi="4294967295" scale="100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1"/>
  <sheetViews>
    <sheetView workbookViewId="0" zoomScale="100"/>
  </sheetViews>
  <sheetFormatPr defaultRowHeight="15" outlineLevelRow="0" outlineLevelCol="0" x14ac:dyDescent="55"/>
  <sheetData/>
  <pageMargins left="0.7" right="0.7" top="0.75" bottom="0.75" header="0.3" footer="0.3"/>
  <pageSetup orientation="landscape" horizontalDpi="4294967295" verticalDpi="4294967295" scale="100" fitToWidth="1" fitToHeigh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E6F2"/>
    <pageSetUpPr fitToPage="1"/>
  </sheetPr>
  <dimension ref="A1:G10"/>
  <sheetViews>
    <sheetView workbookViewId="0" showGridLines="0" zoomScale="100"/>
  </sheetViews>
  <sheetFormatPr defaultRowHeight="15" outlineLevelRow="0" outlineLevelCol="0" x14ac:dyDescent="55"/>
  <cols>
    <col min="1" max="1" width="22" customWidth="1"/>
    <col min="2" max="2" width="16" customWidth="1"/>
    <col min="3" max="3" width="15" customWidth="1"/>
    <col min="4" max="5" width="30.5" customWidth="1"/>
    <col min="6" max="6" width="19.83" customWidth="1"/>
    <col min="7" max="7" width="36" customWidth="1"/>
  </cols>
  <sheetData>
    <row r="1" ht="37.5" customHeight="1" spans="1:1" x14ac:dyDescent="0.25">
      <c r="A1" s="1" t="s">
        <v>106</v>
      </c>
    </row>
    <row r="5" ht="30" customHeight="1" spans="1:7" x14ac:dyDescent="0.25">
      <c r="A5" s="33" t="s">
        <v>57</v>
      </c>
      <c r="B5" s="33" t="s">
        <v>107</v>
      </c>
      <c r="C5" s="33" t="s">
        <v>108</v>
      </c>
      <c r="D5" s="33" t="s">
        <v>109</v>
      </c>
      <c r="E5" s="33" t="s">
        <v>110</v>
      </c>
      <c r="F5" s="33" t="s">
        <v>111</v>
      </c>
      <c r="G5" s="33" t="s">
        <v>38</v>
      </c>
    </row>
    <row r="6" ht="25.5" customHeight="1" spans="1:7" x14ac:dyDescent="0.25">
      <c r="A6" s="55" t="s">
        <v>112</v>
      </c>
      <c r="B6" s="56">
        <v>120000</v>
      </c>
      <c r="C6" s="57">
        <v>46174</v>
      </c>
      <c r="D6" s="55" t="s">
        <v>113</v>
      </c>
      <c r="E6" s="58"/>
      <c r="F6" s="59" t="s">
        <v>114</v>
      </c>
      <c r="G6" s="55" t="s">
        <v>72</v>
      </c>
    </row>
    <row r="7" ht="25.5" customHeight="1" spans="1:7" x14ac:dyDescent="0.25">
      <c r="A7" s="60" t="s">
        <v>115</v>
      </c>
      <c r="B7" s="61">
        <v>95000</v>
      </c>
      <c r="C7" s="62">
        <v>46204</v>
      </c>
      <c r="D7" s="60" t="s">
        <v>113</v>
      </c>
      <c r="E7" s="63"/>
      <c r="F7" s="64" t="s">
        <v>114</v>
      </c>
      <c r="G7" s="60" t="s">
        <v>72</v>
      </c>
    </row>
    <row r="8" ht="25.5" customHeight="1" spans="1:7" x14ac:dyDescent="0.25">
      <c r="A8" s="55" t="s">
        <v>116</v>
      </c>
      <c r="B8" s="56">
        <v>85000</v>
      </c>
      <c r="C8" s="57">
        <v>46188</v>
      </c>
      <c r="D8" s="55" t="s">
        <v>117</v>
      </c>
      <c r="E8" s="58">
        <v>46231</v>
      </c>
      <c r="F8" s="59" t="s">
        <v>114</v>
      </c>
      <c r="G8" s="55" t="s">
        <v>118</v>
      </c>
    </row>
    <row r="9" ht="25.5" customHeight="1" spans="1:7" x14ac:dyDescent="0.25">
      <c r="A9" s="60" t="s">
        <v>119</v>
      </c>
      <c r="B9" s="61">
        <v>110000</v>
      </c>
      <c r="C9" s="62">
        <v>46223</v>
      </c>
      <c r="D9" s="60" t="s">
        <v>117</v>
      </c>
      <c r="E9" s="63">
        <v>46307</v>
      </c>
      <c r="F9" s="64" t="s">
        <v>114</v>
      </c>
      <c r="G9" s="60" t="s">
        <v>120</v>
      </c>
    </row>
    <row r="10" ht="25.5" customHeight="1" spans="1:7" x14ac:dyDescent="0.25">
      <c r="A10" s="55" t="s">
        <v>121</v>
      </c>
      <c r="B10" s="56">
        <v>75000</v>
      </c>
      <c r="C10" s="57">
        <v>46239</v>
      </c>
      <c r="D10" s="55" t="s">
        <v>113</v>
      </c>
      <c r="E10" s="58"/>
      <c r="F10" s="59" t="s">
        <v>114</v>
      </c>
      <c r="G10" s="55" t="s">
        <v>72</v>
      </c>
    </row>
  </sheetData>
  <pageMargins left="0.7" right="0.7" top="0.75" bottom="0.75" header="0.3" footer="0.3"/>
  <pageSetup orientation="landscape" horizontalDpi="4294967295" verticalDpi="4294967295" scale="100" fitToWidth="1" fitToHeigh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E6F2"/>
    <pageSetUpPr fitToPage="1"/>
  </sheetPr>
  <dimension ref="A1:H9"/>
  <sheetViews>
    <sheetView workbookViewId="0" showGridLines="0" zoomScale="125"/>
  </sheetViews>
  <sheetFormatPr defaultRowHeight="15" outlineLevelRow="0" outlineLevelCol="0" x14ac:dyDescent="55"/>
  <cols>
    <col min="1" max="1" width="22" customWidth="1"/>
    <col min="2" max="2" width="16" customWidth="1"/>
    <col min="3" max="3" width="28" customWidth="1"/>
    <col min="4" max="4" width="13" customWidth="1"/>
    <col min="5" max="5" width="16" customWidth="1"/>
    <col min="6" max="6" width="14.66" customWidth="1"/>
    <col min="7" max="7" width="17" customWidth="1"/>
  </cols>
  <sheetData>
    <row r="1" ht="16.5" customHeight="1" spans="1:1" x14ac:dyDescent="0.25">
      <c r="A1" s="1" t="s">
        <v>122</v>
      </c>
    </row>
    <row r="5" ht="30" customHeight="1" spans="1:8" x14ac:dyDescent="0.25">
      <c r="A5" s="33" t="s">
        <v>123</v>
      </c>
      <c r="B5" s="33" t="s">
        <v>124</v>
      </c>
      <c r="C5" s="33" t="s">
        <v>125</v>
      </c>
      <c r="D5" s="33" t="s">
        <v>66</v>
      </c>
      <c r="E5" s="33" t="s">
        <v>126</v>
      </c>
      <c r="F5" s="33" t="s">
        <v>67</v>
      </c>
      <c r="G5" s="33" t="s">
        <v>127</v>
      </c>
      <c r="H5" s="33" t="s">
        <v>111</v>
      </c>
    </row>
    <row r="6" ht="25.5" customHeight="1" spans="1:8" x14ac:dyDescent="0.25">
      <c r="A6" s="55" t="s">
        <v>128</v>
      </c>
      <c r="B6" s="56">
        <v>130000</v>
      </c>
      <c r="C6" s="55" t="s">
        <v>129</v>
      </c>
      <c r="D6" s="65">
        <v>0.7</v>
      </c>
      <c r="E6" s="57">
        <v>46252</v>
      </c>
      <c r="F6" s="56">
        <f>B6*D6</f>
      </c>
      <c r="G6" s="55" t="s">
        <v>130</v>
      </c>
      <c r="H6" s="59" t="s">
        <v>114</v>
      </c>
    </row>
    <row r="7" ht="25.5" customHeight="1" spans="1:8" x14ac:dyDescent="0.25">
      <c r="A7" s="60" t="s">
        <v>131</v>
      </c>
      <c r="B7" s="61">
        <v>60000</v>
      </c>
      <c r="C7" s="60" t="s">
        <v>132</v>
      </c>
      <c r="D7" s="66">
        <v>0.1</v>
      </c>
      <c r="E7" s="62">
        <v>46296</v>
      </c>
      <c r="F7" s="61">
        <f>B7*D7</f>
      </c>
      <c r="G7" s="60" t="s">
        <v>130</v>
      </c>
      <c r="H7" s="64" t="s">
        <v>114</v>
      </c>
    </row>
    <row r="8" ht="25.5" customHeight="1" spans="1:8" x14ac:dyDescent="0.25">
      <c r="A8" s="55" t="s">
        <v>133</v>
      </c>
      <c r="B8" s="56">
        <v>105000</v>
      </c>
      <c r="C8" s="55" t="s">
        <v>134</v>
      </c>
      <c r="D8" s="65">
        <v>0.85</v>
      </c>
      <c r="E8" s="57">
        <v>46259</v>
      </c>
      <c r="F8" s="56">
        <f>B8*D8</f>
      </c>
      <c r="G8" s="55" t="s">
        <v>130</v>
      </c>
      <c r="H8" s="59" t="s">
        <v>114</v>
      </c>
    </row>
    <row r="9" ht="25.5" customHeight="1" spans="1:8" x14ac:dyDescent="0.25">
      <c r="A9" s="60" t="s">
        <v>135</v>
      </c>
      <c r="B9" s="61">
        <v>90000</v>
      </c>
      <c r="C9" s="60" t="s">
        <v>136</v>
      </c>
      <c r="D9" s="66">
        <v>0.25</v>
      </c>
      <c r="E9" s="62">
        <v>46270</v>
      </c>
      <c r="F9" s="61">
        <f>B9*D9</f>
      </c>
      <c r="G9" s="60" t="s">
        <v>130</v>
      </c>
      <c r="H9" s="64" t="s">
        <v>114</v>
      </c>
    </row>
  </sheetData>
  <pageMargins left="0.7" right="0.7" top="0.75" bottom="0.75" header="0.3" footer="0.3"/>
  <pageSetup orientation="landscape" horizontalDpi="4294967295" verticalDpi="4294967295" scale="100" fitToWidth="1" fitToHeigh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CE6F2"/>
    <pageSetUpPr fitToPage="1"/>
  </sheetPr>
  <dimension ref="A1:D12"/>
  <sheetViews>
    <sheetView workbookViewId="0" showGridLines="0" zoomScale="125"/>
  </sheetViews>
  <sheetFormatPr defaultRowHeight="15" outlineLevelRow="0" outlineLevelCol="0" x14ac:dyDescent="55"/>
  <cols>
    <col min="1" max="1" width="36" customWidth="1"/>
    <col min="2" max="2" width="11.5" customWidth="1"/>
    <col min="3" max="3" width="17" customWidth="1"/>
    <col min="4" max="4" width="42" customWidth="1"/>
  </cols>
  <sheetData>
    <row r="1" ht="16.5" customHeight="1" spans="1:1" x14ac:dyDescent="0.25">
      <c r="A1" s="1" t="s">
        <v>137</v>
      </c>
    </row>
    <row r="5" ht="30" customHeight="1" spans="1:4" x14ac:dyDescent="0.25">
      <c r="A5" s="33" t="s">
        <v>88</v>
      </c>
      <c r="B5" s="33" t="s">
        <v>58</v>
      </c>
      <c r="C5" s="33" t="s">
        <v>91</v>
      </c>
      <c r="D5" s="33" t="s">
        <v>138</v>
      </c>
    </row>
    <row r="6" ht="25.5" customHeight="1" spans="1:4" x14ac:dyDescent="0.25">
      <c r="A6" s="55" t="s">
        <v>139</v>
      </c>
      <c r="B6" s="59" t="s">
        <v>140</v>
      </c>
      <c r="C6" s="56">
        <v>2100</v>
      </c>
      <c r="D6" s="55" t="s">
        <v>141</v>
      </c>
    </row>
    <row r="7" ht="25.5" customHeight="1" spans="1:4" x14ac:dyDescent="0.25">
      <c r="A7" s="60" t="s">
        <v>142</v>
      </c>
      <c r="B7" s="64" t="s">
        <v>140</v>
      </c>
      <c r="C7" s="61">
        <v>3000</v>
      </c>
      <c r="D7" s="60" t="s">
        <v>143</v>
      </c>
    </row>
    <row r="8" ht="25.5" customHeight="1" spans="1:4" x14ac:dyDescent="0.25">
      <c r="A8" s="55" t="s">
        <v>144</v>
      </c>
      <c r="B8" s="59" t="s">
        <v>140</v>
      </c>
      <c r="C8" s="56">
        <v>95000</v>
      </c>
      <c r="D8" s="55" t="s">
        <v>145</v>
      </c>
    </row>
    <row r="9" ht="25.5" customHeight="1" spans="1:4" x14ac:dyDescent="0.25">
      <c r="A9" s="60" t="s">
        <v>146</v>
      </c>
      <c r="B9" s="64" t="s">
        <v>140</v>
      </c>
      <c r="C9" s="61">
        <v>19000</v>
      </c>
      <c r="D9" s="60" t="s">
        <v>147</v>
      </c>
    </row>
    <row r="10" ht="25.5" customHeight="1" spans="1:4" x14ac:dyDescent="0.25">
      <c r="A10" s="55" t="s">
        <v>148</v>
      </c>
      <c r="B10" s="59" t="s">
        <v>140</v>
      </c>
      <c r="C10" s="56">
        <v>4500</v>
      </c>
      <c r="D10" s="55" t="s">
        <v>149</v>
      </c>
    </row>
    <row r="11" ht="25.5" customHeight="1" spans="1:4" x14ac:dyDescent="0.25">
      <c r="A11" s="60" t="s">
        <v>150</v>
      </c>
      <c r="B11" s="64" t="s">
        <v>140</v>
      </c>
      <c r="C11" s="61">
        <v>8500</v>
      </c>
      <c r="D11" s="60" t="s">
        <v>151</v>
      </c>
    </row>
    <row r="12" ht="25.5" customHeight="1" spans="1:4" x14ac:dyDescent="0.25">
      <c r="A12" s="55" t="s">
        <v>152</v>
      </c>
      <c r="B12" s="59" t="s">
        <v>140</v>
      </c>
      <c r="C12" s="56">
        <v>3200</v>
      </c>
      <c r="D12" s="55" t="s">
        <v>153</v>
      </c>
    </row>
  </sheetData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Rolling Cash Flow Projection</vt:lpstr>
      <vt:lpstr>Collections</vt:lpstr>
      <vt:lpstr>Expenses</vt:lpstr>
      <vt:lpstr>INPUTS&gt;&gt;</vt:lpstr>
      <vt:lpstr>1. Signed Engagements</vt:lpstr>
      <vt:lpstr>2. Pipeline</vt:lpstr>
      <vt:lpstr>3. Expenses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Greenfield CFO</dc:creator>
  <dc:title/>
  <dc:subject/>
  <dc:description/>
  <cp:keywords/>
  <cp:category/>
  <cp:lastModifiedBy>Unknown</cp:lastModifiedBy>
  <dcterms:created xsi:type="dcterms:W3CDTF">2026-08-10T00:00:00Z</dcterms:created>
  <dcterms:modified xsi:type="dcterms:W3CDTF">2026-08-18T14:07:12Z</dcterms:modified>
</cp:coreProperties>
</file>